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2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9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Výsledková listina2" sheetId="2" r:id="rId1"/>
    <sheet name="data" sheetId="4" r:id="rId2"/>
    <sheet name="Psi" sheetId="6" state="hidden" r:id="rId3"/>
    <sheet name="Feny" sheetId="7" state="hidden" r:id="rId4"/>
  </sheets>
  <definedNames>
    <definedName name="_xlnm.Print_Area" localSheetId="0">'Výsledková listina2'!$A$2:$F$562</definedName>
  </definedNames>
  <calcPr calcId="125725"/>
</workbook>
</file>

<file path=xl/calcChain.xml><?xml version="1.0" encoding="utf-8"?>
<calcChain xmlns="http://schemas.openxmlformats.org/spreadsheetml/2006/main">
  <c r="E280" i="2"/>
  <c r="B280"/>
  <c r="E279"/>
  <c r="B279"/>
  <c r="E247"/>
  <c r="B247"/>
  <c r="E246"/>
  <c r="B246"/>
  <c r="E10"/>
  <c r="B10"/>
  <c r="E9"/>
  <c r="B9"/>
  <c r="E178"/>
  <c r="B178"/>
  <c r="E177"/>
  <c r="B177"/>
  <c r="E175"/>
  <c r="B175"/>
  <c r="E174"/>
  <c r="B174"/>
  <c r="E172"/>
  <c r="B172"/>
  <c r="E171"/>
  <c r="B171"/>
  <c r="E169"/>
  <c r="B169"/>
  <c r="E168"/>
  <c r="B168"/>
  <c r="E166"/>
  <c r="B166"/>
  <c r="E165"/>
  <c r="B165"/>
  <c r="E163"/>
  <c r="B163"/>
  <c r="E162"/>
  <c r="B162"/>
  <c r="E160"/>
  <c r="B160"/>
  <c r="E159"/>
  <c r="B159"/>
  <c r="B182"/>
  <c r="E182"/>
  <c r="B183"/>
  <c r="E183"/>
  <c r="B185"/>
  <c r="E185"/>
  <c r="B186"/>
  <c r="E186"/>
  <c r="E157"/>
  <c r="B157"/>
  <c r="E156"/>
  <c r="B156"/>
  <c r="E154"/>
  <c r="B154"/>
  <c r="E153"/>
  <c r="B153"/>
  <c r="E151"/>
  <c r="B151"/>
  <c r="E150"/>
  <c r="B150"/>
  <c r="E148"/>
  <c r="B148"/>
  <c r="E147"/>
  <c r="B147"/>
  <c r="B145"/>
  <c r="E144"/>
  <c r="B144"/>
  <c r="E142"/>
  <c r="B142"/>
  <c r="E141"/>
  <c r="B141"/>
  <c r="E139"/>
  <c r="B139"/>
  <c r="E138"/>
  <c r="B138"/>
  <c r="E136"/>
  <c r="B136"/>
  <c r="E135"/>
  <c r="B135"/>
  <c r="E133"/>
  <c r="B133"/>
  <c r="E132"/>
  <c r="B132"/>
  <c r="E130"/>
  <c r="B130"/>
  <c r="E129"/>
  <c r="B129"/>
  <c r="E127"/>
  <c r="B127"/>
  <c r="E126"/>
  <c r="B126"/>
  <c r="E124"/>
  <c r="B124"/>
  <c r="E123"/>
  <c r="B123"/>
  <c r="E121"/>
  <c r="B121"/>
  <c r="E120"/>
  <c r="B120"/>
  <c r="E118"/>
  <c r="B118"/>
  <c r="E117"/>
  <c r="B117"/>
  <c r="E115"/>
  <c r="B115"/>
  <c r="E114"/>
  <c r="B114"/>
  <c r="E112"/>
  <c r="B112"/>
  <c r="E111"/>
  <c r="B111"/>
  <c r="E109"/>
  <c r="B109"/>
  <c r="E108"/>
  <c r="B108"/>
  <c r="E103"/>
  <c r="B103"/>
  <c r="E102"/>
  <c r="B102"/>
  <c r="E106"/>
  <c r="B106"/>
  <c r="E105"/>
  <c r="B105"/>
  <c r="E100"/>
  <c r="B100"/>
  <c r="E99"/>
  <c r="B99"/>
  <c r="E97"/>
  <c r="B97"/>
  <c r="E96"/>
  <c r="B96"/>
  <c r="E94"/>
  <c r="B94"/>
  <c r="E93"/>
  <c r="B93"/>
  <c r="E76"/>
  <c r="B76"/>
  <c r="E75"/>
  <c r="B75"/>
  <c r="E73"/>
  <c r="B73"/>
  <c r="E72"/>
  <c r="B72"/>
  <c r="E70"/>
  <c r="B70"/>
  <c r="E69"/>
  <c r="B69"/>
  <c r="E67"/>
  <c r="B67"/>
  <c r="E66"/>
  <c r="B66"/>
  <c r="E64"/>
  <c r="B64"/>
  <c r="E63"/>
  <c r="B63"/>
  <c r="E61"/>
  <c r="B61"/>
  <c r="E60"/>
  <c r="B60"/>
  <c r="E58"/>
  <c r="B58"/>
  <c r="E57"/>
  <c r="B57"/>
  <c r="E55"/>
  <c r="B55"/>
  <c r="E54"/>
  <c r="B54"/>
  <c r="E52"/>
  <c r="B52"/>
  <c r="E51"/>
  <c r="B51"/>
  <c r="E49"/>
  <c r="B49"/>
  <c r="E48"/>
  <c r="B48"/>
  <c r="E46"/>
  <c r="B46"/>
  <c r="E45"/>
  <c r="B45"/>
  <c r="E43"/>
  <c r="B43"/>
  <c r="E42"/>
  <c r="B42"/>
  <c r="E40"/>
  <c r="B40"/>
  <c r="E39"/>
  <c r="B39"/>
  <c r="E37"/>
  <c r="B37"/>
  <c r="E36"/>
  <c r="B36"/>
  <c r="B80"/>
  <c r="E80"/>
  <c r="B81"/>
  <c r="E81"/>
  <c r="B83"/>
  <c r="E83"/>
  <c r="B84"/>
  <c r="E84"/>
  <c r="B86"/>
  <c r="E86"/>
  <c r="B87"/>
  <c r="E87"/>
  <c r="B89"/>
  <c r="E89"/>
  <c r="B90"/>
  <c r="E90"/>
  <c r="E34"/>
  <c r="B34"/>
  <c r="E33"/>
  <c r="B33"/>
  <c r="E31"/>
  <c r="B31"/>
  <c r="E30"/>
  <c r="B30"/>
  <c r="E28"/>
  <c r="B28"/>
  <c r="E27"/>
  <c r="B27"/>
  <c r="E25"/>
  <c r="B25"/>
  <c r="E24"/>
  <c r="B24"/>
  <c r="E22"/>
  <c r="B22"/>
  <c r="E21"/>
  <c r="B21"/>
  <c r="E19"/>
  <c r="B19"/>
  <c r="E18"/>
  <c r="B18"/>
  <c r="E16"/>
  <c r="B16"/>
  <c r="E15"/>
  <c r="B15"/>
  <c r="E13"/>
  <c r="B13"/>
  <c r="E12"/>
  <c r="B12"/>
  <c r="E7"/>
  <c r="B7"/>
  <c r="E6"/>
  <c r="B6"/>
  <c r="E4"/>
  <c r="B4"/>
  <c r="E3"/>
  <c r="B3"/>
  <c r="E195"/>
  <c r="B195"/>
  <c r="E194"/>
  <c r="B194"/>
  <c r="E192"/>
  <c r="B192"/>
  <c r="E191"/>
  <c r="B191"/>
  <c r="E189"/>
  <c r="B189"/>
  <c r="E188"/>
  <c r="B188"/>
  <c r="E227"/>
  <c r="B227"/>
  <c r="E226"/>
  <c r="B226"/>
  <c r="E224"/>
  <c r="B224"/>
  <c r="E223"/>
  <c r="B223"/>
  <c r="E221"/>
  <c r="B221"/>
  <c r="E220"/>
  <c r="B220"/>
  <c r="E218"/>
  <c r="B218"/>
  <c r="E217"/>
  <c r="B217"/>
  <c r="E215"/>
  <c r="B215"/>
  <c r="E214"/>
  <c r="B214"/>
  <c r="E212"/>
  <c r="B212"/>
  <c r="E211"/>
  <c r="B211"/>
  <c r="E209"/>
  <c r="B209"/>
  <c r="E208"/>
  <c r="B208"/>
  <c r="E206"/>
  <c r="B206"/>
  <c r="E205"/>
  <c r="B205"/>
  <c r="E203"/>
  <c r="B203"/>
  <c r="E202"/>
  <c r="B202"/>
  <c r="E200"/>
  <c r="B200"/>
  <c r="E199"/>
  <c r="B199"/>
  <c r="E286"/>
  <c r="B286"/>
  <c r="E285"/>
  <c r="B285"/>
  <c r="E283"/>
  <c r="B283"/>
  <c r="E282"/>
  <c r="B282"/>
  <c r="E277"/>
  <c r="B277"/>
  <c r="E276"/>
  <c r="B276"/>
  <c r="E274"/>
  <c r="B274"/>
  <c r="E273"/>
  <c r="B273"/>
  <c r="E271"/>
  <c r="B271"/>
  <c r="E270"/>
  <c r="B270"/>
  <c r="E268"/>
  <c r="B268"/>
  <c r="E267"/>
  <c r="B267"/>
  <c r="E583"/>
  <c r="B583"/>
  <c r="E582"/>
  <c r="B582"/>
  <c r="E580"/>
  <c r="B580"/>
  <c r="E579"/>
  <c r="B579"/>
  <c r="E577"/>
  <c r="B577"/>
  <c r="E576"/>
  <c r="B576"/>
  <c r="E574"/>
  <c r="B574"/>
  <c r="E573"/>
  <c r="B573"/>
  <c r="E571"/>
  <c r="B571"/>
  <c r="E570"/>
  <c r="B570"/>
  <c r="E568"/>
  <c r="B568"/>
  <c r="E567"/>
  <c r="B567"/>
  <c r="E565"/>
  <c r="B565"/>
  <c r="E564"/>
  <c r="B564"/>
  <c r="B289"/>
  <c r="E289"/>
  <c r="B290"/>
  <c r="E290"/>
  <c r="B292"/>
  <c r="E292"/>
  <c r="B293"/>
  <c r="E293"/>
  <c r="B295"/>
  <c r="E295"/>
  <c r="B296"/>
  <c r="E296"/>
  <c r="E265"/>
  <c r="B265"/>
  <c r="E264"/>
  <c r="B264"/>
  <c r="E262"/>
  <c r="B262"/>
  <c r="E261"/>
  <c r="B261"/>
  <c r="E259"/>
  <c r="B259"/>
  <c r="E258"/>
  <c r="B258"/>
  <c r="E256"/>
  <c r="B256"/>
  <c r="E255"/>
  <c r="B255"/>
  <c r="E253"/>
  <c r="B253"/>
  <c r="E252"/>
  <c r="B252"/>
  <c r="E250"/>
  <c r="B250"/>
  <c r="E249"/>
  <c r="B249"/>
  <c r="E244"/>
  <c r="B244"/>
  <c r="E243"/>
  <c r="B243"/>
  <c r="E241"/>
  <c r="B241"/>
  <c r="E240"/>
  <c r="B240"/>
  <c r="E238"/>
  <c r="B238"/>
  <c r="E237"/>
  <c r="B237"/>
  <c r="E235"/>
  <c r="B235"/>
  <c r="E234"/>
  <c r="B234"/>
  <c r="E232"/>
  <c r="B232"/>
  <c r="E231"/>
  <c r="B231"/>
  <c r="E299"/>
  <c r="B299"/>
  <c r="E298"/>
  <c r="B298"/>
  <c r="B303"/>
  <c r="E303"/>
  <c r="B304"/>
  <c r="E304"/>
  <c r="B306"/>
  <c r="E306"/>
  <c r="B307"/>
  <c r="E307"/>
  <c r="E313"/>
  <c r="B313"/>
  <c r="E312"/>
  <c r="B312"/>
  <c r="E310"/>
  <c r="B310"/>
  <c r="E309"/>
  <c r="B309"/>
  <c r="E351"/>
  <c r="B351"/>
  <c r="E350"/>
  <c r="B350"/>
  <c r="E348"/>
  <c r="B348"/>
  <c r="E347"/>
  <c r="B347"/>
  <c r="E345"/>
  <c r="B345"/>
  <c r="E344"/>
  <c r="B344"/>
  <c r="E342"/>
  <c r="B342"/>
  <c r="E341"/>
  <c r="B341"/>
  <c r="E339"/>
  <c r="B339"/>
  <c r="E338"/>
  <c r="B338"/>
  <c r="E336"/>
  <c r="B336"/>
  <c r="E335"/>
  <c r="B335"/>
  <c r="E333"/>
  <c r="B333"/>
  <c r="E332"/>
  <c r="B332"/>
  <c r="E330"/>
  <c r="B330"/>
  <c r="E329"/>
  <c r="B329"/>
  <c r="E327"/>
  <c r="B327"/>
  <c r="E326"/>
  <c r="B326"/>
  <c r="E324"/>
  <c r="B324"/>
  <c r="E323"/>
  <c r="B323"/>
  <c r="E321"/>
  <c r="B321"/>
  <c r="E320"/>
  <c r="B320"/>
  <c r="E318"/>
  <c r="B318"/>
  <c r="E317"/>
  <c r="B317"/>
  <c r="E361"/>
  <c r="B361"/>
  <c r="E360"/>
  <c r="B360"/>
  <c r="E358"/>
  <c r="B358"/>
  <c r="E357"/>
  <c r="B357"/>
  <c r="E355"/>
  <c r="B355"/>
  <c r="E354"/>
  <c r="B354"/>
  <c r="E389"/>
  <c r="B389"/>
  <c r="E388"/>
  <c r="B388"/>
  <c r="E386"/>
  <c r="B386"/>
  <c r="E385"/>
  <c r="B385"/>
  <c r="E383"/>
  <c r="B383"/>
  <c r="E382"/>
  <c r="B382"/>
  <c r="E380"/>
  <c r="B380"/>
  <c r="E379"/>
  <c r="B379"/>
  <c r="E377"/>
  <c r="B377"/>
  <c r="E376"/>
  <c r="B376"/>
  <c r="E374"/>
  <c r="B374"/>
  <c r="E373"/>
  <c r="B373"/>
  <c r="E371"/>
  <c r="B371"/>
  <c r="E370"/>
  <c r="B370"/>
  <c r="E368"/>
  <c r="B368"/>
  <c r="E367"/>
  <c r="B367"/>
  <c r="E365"/>
  <c r="B365"/>
  <c r="E364"/>
  <c r="B364"/>
  <c r="E434"/>
  <c r="B434"/>
  <c r="E433"/>
  <c r="B433"/>
  <c r="E431"/>
  <c r="B431"/>
  <c r="E430"/>
  <c r="B430"/>
  <c r="E428"/>
  <c r="B428"/>
  <c r="E427"/>
  <c r="B427"/>
  <c r="E425"/>
  <c r="B425"/>
  <c r="E424"/>
  <c r="B424"/>
  <c r="E422"/>
  <c r="B422"/>
  <c r="E421"/>
  <c r="B421"/>
  <c r="E419"/>
  <c r="B419"/>
  <c r="E418"/>
  <c r="B418"/>
  <c r="E416"/>
  <c r="B416"/>
  <c r="E415"/>
  <c r="B415"/>
  <c r="E413"/>
  <c r="B413"/>
  <c r="E412"/>
  <c r="B412"/>
  <c r="E410"/>
  <c r="B410"/>
  <c r="E409"/>
  <c r="B409"/>
  <c r="E407"/>
  <c r="B407"/>
  <c r="E406"/>
  <c r="B406"/>
  <c r="E404"/>
  <c r="B404"/>
  <c r="E403"/>
  <c r="B403"/>
  <c r="E401"/>
  <c r="B401"/>
  <c r="E400"/>
  <c r="B400"/>
  <c r="E398"/>
  <c r="B398"/>
  <c r="E397"/>
  <c r="B397"/>
  <c r="E466"/>
  <c r="B466"/>
  <c r="E465"/>
  <c r="B465"/>
  <c r="E463"/>
  <c r="B463"/>
  <c r="E462"/>
  <c r="B462"/>
  <c r="E460"/>
  <c r="B460"/>
  <c r="E459"/>
  <c r="E457"/>
  <c r="B457"/>
  <c r="E456"/>
  <c r="B456"/>
  <c r="E454"/>
  <c r="B454"/>
  <c r="E453"/>
  <c r="B453"/>
  <c r="E451"/>
  <c r="B451"/>
  <c r="E450"/>
  <c r="B450"/>
  <c r="E448"/>
  <c r="B448"/>
  <c r="E447"/>
  <c r="B447"/>
  <c r="E445"/>
  <c r="B445"/>
  <c r="E444"/>
  <c r="B444"/>
  <c r="E519"/>
  <c r="B519"/>
  <c r="E518"/>
  <c r="B518"/>
  <c r="E516"/>
  <c r="B516"/>
  <c r="E515"/>
  <c r="B515"/>
  <c r="E513"/>
  <c r="B513"/>
  <c r="E512"/>
  <c r="B512"/>
  <c r="E510"/>
  <c r="B510"/>
  <c r="E509"/>
  <c r="B509"/>
  <c r="E507"/>
  <c r="B507"/>
  <c r="E506"/>
  <c r="E504"/>
  <c r="B504"/>
  <c r="E503"/>
  <c r="B503"/>
  <c r="B522"/>
  <c r="E522"/>
  <c r="E501"/>
  <c r="B501"/>
  <c r="E500"/>
  <c r="B500"/>
  <c r="E498"/>
  <c r="B498"/>
  <c r="E497"/>
  <c r="B497"/>
  <c r="E495"/>
  <c r="B495"/>
  <c r="E494"/>
  <c r="B494"/>
  <c r="E492"/>
  <c r="B492"/>
  <c r="E491"/>
  <c r="B491"/>
  <c r="E489"/>
  <c r="B489"/>
  <c r="E488"/>
  <c r="B488"/>
  <c r="E486"/>
  <c r="B486"/>
  <c r="E485"/>
  <c r="B485"/>
  <c r="E483"/>
  <c r="B483"/>
  <c r="E482"/>
  <c r="B482"/>
  <c r="E480"/>
  <c r="B480"/>
  <c r="E479"/>
  <c r="B479"/>
  <c r="E477"/>
  <c r="B477"/>
  <c r="E476"/>
  <c r="B476"/>
  <c r="E474"/>
  <c r="B474"/>
  <c r="E473"/>
  <c r="B473"/>
  <c r="E542"/>
  <c r="B542"/>
  <c r="E541"/>
  <c r="B541"/>
  <c r="E539"/>
  <c r="B539"/>
  <c r="E538"/>
  <c r="B538"/>
  <c r="E536"/>
  <c r="B536"/>
  <c r="E535"/>
  <c r="B535"/>
  <c r="E533"/>
  <c r="B533"/>
  <c r="E532"/>
  <c r="B532"/>
  <c r="E559"/>
  <c r="B559"/>
  <c r="E558"/>
  <c r="B558"/>
  <c r="E556"/>
  <c r="B556"/>
  <c r="E555"/>
  <c r="B555"/>
  <c r="E553"/>
  <c r="B553"/>
  <c r="E552"/>
  <c r="B552"/>
  <c r="E550"/>
  <c r="B550"/>
  <c r="E549"/>
  <c r="B549"/>
  <c r="AJ103" i="7" l="1"/>
  <c r="AI103"/>
  <c r="AH103"/>
  <c r="AF103"/>
  <c r="AK101"/>
  <c r="AJ101"/>
  <c r="AI101"/>
  <c r="AF101"/>
  <c r="AI100"/>
  <c r="AF100"/>
  <c r="AK99"/>
  <c r="AJ99"/>
  <c r="AI99"/>
  <c r="AH99"/>
  <c r="AG99"/>
  <c r="AF99"/>
  <c r="AI98"/>
  <c r="AG98"/>
  <c r="AF98"/>
  <c r="AI97"/>
  <c r="AF97"/>
  <c r="AE97"/>
  <c r="AI96"/>
  <c r="AF96"/>
  <c r="AK91"/>
  <c r="AI91"/>
  <c r="AH91"/>
  <c r="AG91"/>
  <c r="AF91"/>
  <c r="AE91"/>
  <c r="AI87"/>
  <c r="AF87"/>
  <c r="AI81"/>
  <c r="AF81"/>
  <c r="AK80"/>
  <c r="AJ80"/>
  <c r="AI80"/>
  <c r="AF80"/>
  <c r="AK78"/>
  <c r="AJ78"/>
  <c r="AI78"/>
  <c r="AF78"/>
  <c r="AI76"/>
  <c r="AF76"/>
  <c r="AI75"/>
  <c r="AF75"/>
  <c r="AJ73"/>
  <c r="AI73"/>
  <c r="AF73"/>
  <c r="AI69"/>
  <c r="AF69"/>
  <c r="AI67"/>
  <c r="AF67"/>
  <c r="AI66"/>
  <c r="AF66"/>
  <c r="AI65"/>
  <c r="AF65"/>
  <c r="AK64"/>
  <c r="AJ64"/>
  <c r="AI64"/>
  <c r="AF64"/>
  <c r="AK63"/>
  <c r="AJ63"/>
  <c r="AI63"/>
  <c r="AF63"/>
  <c r="AI58"/>
  <c r="AF58"/>
  <c r="AI56"/>
  <c r="AF56"/>
  <c r="AI55"/>
  <c r="AF55"/>
  <c r="AJ53"/>
  <c r="AI53"/>
  <c r="AG53"/>
  <c r="AF53"/>
  <c r="AK45"/>
  <c r="AJ45"/>
  <c r="AI45"/>
  <c r="AH45"/>
  <c r="AG45"/>
  <c r="AF45"/>
  <c r="AE45"/>
  <c r="AJ44"/>
  <c r="AI44"/>
  <c r="AF44"/>
  <c r="AI39"/>
  <c r="AF39"/>
  <c r="AJ37"/>
  <c r="AI37"/>
  <c r="AF37"/>
  <c r="AK34"/>
  <c r="AJ34"/>
  <c r="AI34"/>
  <c r="AH34"/>
  <c r="AG34"/>
  <c r="AF34"/>
  <c r="AE34"/>
  <c r="AK32"/>
  <c r="AJ32"/>
  <c r="AI32"/>
  <c r="AF32"/>
  <c r="AJ31"/>
  <c r="AI31"/>
  <c r="AH31"/>
  <c r="AG31"/>
  <c r="AF31"/>
  <c r="AE31"/>
  <c r="AK30"/>
  <c r="AJ30"/>
  <c r="AI30"/>
  <c r="AH30"/>
  <c r="AG30"/>
  <c r="AF30"/>
  <c r="AE30"/>
  <c r="AI29"/>
  <c r="AH29"/>
  <c r="AG29"/>
  <c r="AF29"/>
  <c r="AE29"/>
  <c r="AD29"/>
  <c r="AJ19"/>
  <c r="AI19"/>
  <c r="AH19"/>
  <c r="AF19"/>
  <c r="AK17"/>
  <c r="AJ17"/>
  <c r="AI17"/>
  <c r="AH17"/>
  <c r="AG17"/>
  <c r="AF17"/>
  <c r="AJ16"/>
  <c r="AI16"/>
  <c r="AH16"/>
  <c r="AG16"/>
  <c r="AF16"/>
  <c r="AK15"/>
  <c r="AJ15"/>
  <c r="AI15"/>
  <c r="AH15"/>
  <c r="AG15"/>
  <c r="AF15"/>
  <c r="AK13"/>
  <c r="AJ13"/>
  <c r="AI13"/>
  <c r="AG13"/>
  <c r="AF13"/>
  <c r="AE13"/>
  <c r="AK12"/>
  <c r="AJ12"/>
  <c r="AI12"/>
  <c r="AG12"/>
  <c r="AF12"/>
  <c r="AK10"/>
  <c r="AJ10"/>
  <c r="AI10"/>
  <c r="AH10"/>
  <c r="AG10"/>
  <c r="AF10"/>
  <c r="AJ5"/>
  <c r="AI5"/>
  <c r="AF5"/>
  <c r="AJ1"/>
  <c r="AI1"/>
  <c r="AG1"/>
  <c r="AF1"/>
  <c r="AK66" i="6"/>
  <c r="AJ66"/>
  <c r="AI66"/>
  <c r="AF66"/>
  <c r="AE66"/>
  <c r="AK65"/>
  <c r="AJ65"/>
  <c r="AI65"/>
  <c r="AH65"/>
  <c r="AG65"/>
  <c r="AF65"/>
  <c r="AE65"/>
  <c r="AI64"/>
  <c r="AF64"/>
  <c r="AJ61"/>
  <c r="AI61"/>
  <c r="AG61"/>
  <c r="AF61"/>
  <c r="AK60"/>
  <c r="AJ60"/>
  <c r="AI60"/>
  <c r="AH60"/>
  <c r="AG60"/>
  <c r="AF60"/>
  <c r="AE60"/>
  <c r="AI59"/>
  <c r="AH59"/>
  <c r="AG59"/>
  <c r="AF59"/>
  <c r="AK58"/>
  <c r="AI58"/>
  <c r="AH58"/>
  <c r="AG58"/>
  <c r="AF58"/>
  <c r="AJ57"/>
  <c r="AI57"/>
  <c r="AG57"/>
  <c r="AF57"/>
  <c r="AI56"/>
  <c r="AH56"/>
  <c r="AG56"/>
  <c r="AF56"/>
  <c r="AJ54"/>
  <c r="AI54"/>
  <c r="AG54"/>
  <c r="AF54"/>
  <c r="AK53"/>
  <c r="AJ53"/>
  <c r="AI53"/>
  <c r="AH53"/>
  <c r="AG53"/>
  <c r="AF53"/>
  <c r="AE53"/>
  <c r="AI49"/>
  <c r="AF49"/>
  <c r="AI48"/>
  <c r="AF48"/>
  <c r="AI47"/>
  <c r="AF47"/>
  <c r="AJ46"/>
  <c r="AI46"/>
  <c r="AF46"/>
  <c r="AK45"/>
  <c r="AJ45"/>
  <c r="AI45"/>
  <c r="AH45"/>
  <c r="AG45"/>
  <c r="AF45"/>
  <c r="AK44"/>
  <c r="AJ44"/>
  <c r="AI44"/>
  <c r="AH44"/>
  <c r="AF44"/>
  <c r="AH37"/>
  <c r="AE37"/>
  <c r="AI34"/>
  <c r="AF34"/>
  <c r="AI30"/>
  <c r="AG30"/>
  <c r="AF30"/>
  <c r="AE30"/>
  <c r="AI26"/>
  <c r="AG26"/>
  <c r="AF26"/>
  <c r="AK24"/>
  <c r="AJ24"/>
  <c r="AI24"/>
  <c r="AG24"/>
  <c r="AF24"/>
  <c r="AJ23"/>
  <c r="AI23"/>
  <c r="AH23"/>
  <c r="AF23"/>
  <c r="AJ22"/>
  <c r="AI22"/>
  <c r="AG22"/>
  <c r="AF22"/>
  <c r="AK21"/>
  <c r="AJ21"/>
  <c r="AI21"/>
  <c r="AG21"/>
  <c r="AF21"/>
  <c r="AK19"/>
  <c r="AJ19"/>
  <c r="AI19"/>
  <c r="AF19"/>
  <c r="AK14"/>
  <c r="AJ14"/>
  <c r="AI14"/>
  <c r="AG14"/>
  <c r="AF14"/>
  <c r="AK13"/>
  <c r="AJ13"/>
  <c r="AI13"/>
  <c r="AH13"/>
  <c r="AG13"/>
  <c r="AF13"/>
  <c r="AI12"/>
  <c r="AF12"/>
  <c r="AI11"/>
  <c r="AF11"/>
  <c r="AI8"/>
  <c r="AF8"/>
  <c r="AJ7"/>
  <c r="AI7"/>
  <c r="AH7"/>
  <c r="AG7"/>
  <c r="AF7"/>
  <c r="AE7"/>
  <c r="AK6"/>
  <c r="AJ6"/>
  <c r="AI6"/>
  <c r="AG6"/>
  <c r="AF6"/>
  <c r="D283" i="4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E264"/>
  <c r="D264"/>
  <c r="D263"/>
  <c r="D262"/>
  <c r="AK261"/>
  <c r="AJ261"/>
  <c r="AI261"/>
  <c r="AG261"/>
  <c r="D261"/>
  <c r="D260"/>
  <c r="AL259"/>
  <c r="AK259"/>
  <c r="AJ259"/>
  <c r="AG259"/>
  <c r="D259"/>
  <c r="E258"/>
  <c r="D258"/>
  <c r="D257"/>
  <c r="D256"/>
  <c r="D255"/>
  <c r="D254"/>
  <c r="D253"/>
  <c r="D252"/>
  <c r="D251"/>
  <c r="D250"/>
  <c r="D249"/>
  <c r="D248"/>
  <c r="D247"/>
  <c r="D246"/>
  <c r="D245"/>
  <c r="AL244"/>
  <c r="AK244"/>
  <c r="AJ244"/>
  <c r="AG244"/>
  <c r="AF244"/>
  <c r="D244"/>
  <c r="AK243"/>
  <c r="AJ243"/>
  <c r="AI243"/>
  <c r="AG243"/>
  <c r="D243"/>
  <c r="AL242"/>
  <c r="AK242"/>
  <c r="AJ242"/>
  <c r="AH242"/>
  <c r="AG242"/>
  <c r="D242"/>
  <c r="AK241"/>
  <c r="AJ241"/>
  <c r="AH241"/>
  <c r="AG241"/>
  <c r="D241"/>
  <c r="E240"/>
  <c r="D240"/>
  <c r="D239"/>
  <c r="AL238"/>
  <c r="AK238"/>
  <c r="AJ238"/>
  <c r="AG238"/>
  <c r="D238"/>
  <c r="AK237"/>
  <c r="AJ237"/>
  <c r="AI237"/>
  <c r="AH237"/>
  <c r="AG237"/>
  <c r="AF237"/>
  <c r="D237"/>
  <c r="AL236"/>
  <c r="AK236"/>
  <c r="AJ236"/>
  <c r="AI236"/>
  <c r="AH236"/>
  <c r="AG236"/>
  <c r="AF236"/>
  <c r="D236"/>
  <c r="AJ235"/>
  <c r="AI235"/>
  <c r="AH235"/>
  <c r="AG235"/>
  <c r="AF235"/>
  <c r="AE235"/>
  <c r="D235"/>
  <c r="E234"/>
  <c r="D234"/>
  <c r="D233"/>
  <c r="D232"/>
  <c r="D231"/>
  <c r="D230"/>
  <c r="D229"/>
  <c r="D228"/>
  <c r="D227"/>
  <c r="D226"/>
  <c r="D225"/>
  <c r="D224"/>
  <c r="D223"/>
  <c r="D222"/>
  <c r="AK221"/>
  <c r="AJ221"/>
  <c r="AI221"/>
  <c r="AG221"/>
  <c r="D221"/>
  <c r="D220"/>
  <c r="AL219"/>
  <c r="AK219"/>
  <c r="AJ219"/>
  <c r="AI219"/>
  <c r="AH219"/>
  <c r="AG219"/>
  <c r="D219"/>
  <c r="AK218"/>
  <c r="AJ218"/>
  <c r="AI218"/>
  <c r="AH218"/>
  <c r="AG218"/>
  <c r="D218"/>
  <c r="AL217"/>
  <c r="AK217"/>
  <c r="AJ217"/>
  <c r="AI217"/>
  <c r="AH217"/>
  <c r="AG217"/>
  <c r="D217"/>
  <c r="D216"/>
  <c r="AL215"/>
  <c r="AK215"/>
  <c r="AJ215"/>
  <c r="AH215"/>
  <c r="AG215"/>
  <c r="AF215"/>
  <c r="D215"/>
  <c r="AL214"/>
  <c r="AK214"/>
  <c r="AJ214"/>
  <c r="AH214"/>
  <c r="AG214"/>
  <c r="D214"/>
  <c r="D213"/>
  <c r="AL212"/>
  <c r="AK212"/>
  <c r="AJ212"/>
  <c r="AI212"/>
  <c r="AH212"/>
  <c r="AG212"/>
  <c r="D212"/>
  <c r="D211"/>
  <c r="D210"/>
  <c r="D209"/>
  <c r="D208"/>
  <c r="AK207"/>
  <c r="AJ207"/>
  <c r="AG207"/>
  <c r="D207"/>
  <c r="D206"/>
  <c r="D205"/>
  <c r="D204"/>
  <c r="AK203"/>
  <c r="AJ203"/>
  <c r="AH203"/>
  <c r="AG203"/>
  <c r="D203"/>
  <c r="E202"/>
  <c r="D202"/>
  <c r="D201"/>
  <c r="D200"/>
  <c r="AL199"/>
  <c r="AK199"/>
  <c r="AJ199"/>
  <c r="AI199"/>
  <c r="AH199"/>
  <c r="AG199"/>
  <c r="D199"/>
  <c r="D198"/>
  <c r="AL197"/>
  <c r="AK197"/>
  <c r="AJ197"/>
  <c r="AI197"/>
  <c r="AG197"/>
  <c r="D197"/>
  <c r="D196"/>
  <c r="E195"/>
  <c r="D195"/>
  <c r="AL194"/>
  <c r="AK194"/>
  <c r="AJ194"/>
  <c r="AI194"/>
  <c r="AH194"/>
  <c r="AG194"/>
  <c r="AF194"/>
  <c r="D194"/>
  <c r="D193"/>
  <c r="D192"/>
  <c r="D191"/>
  <c r="AJ190"/>
  <c r="AG190"/>
  <c r="D190"/>
  <c r="D189"/>
  <c r="AJ188"/>
  <c r="AI188"/>
  <c r="AH188"/>
  <c r="AG188"/>
  <c r="D188"/>
  <c r="D187"/>
  <c r="AK186"/>
  <c r="AJ186"/>
  <c r="AG186"/>
  <c r="D186"/>
  <c r="AJ185"/>
  <c r="AI185"/>
  <c r="AH185"/>
  <c r="AG185"/>
  <c r="D185"/>
  <c r="D184"/>
  <c r="D183"/>
  <c r="AJ182"/>
  <c r="AG182"/>
  <c r="D182"/>
  <c r="D181"/>
  <c r="D180"/>
  <c r="AL179"/>
  <c r="AK179"/>
  <c r="AJ179"/>
  <c r="AI179"/>
  <c r="AH179"/>
  <c r="AG179"/>
  <c r="AF179"/>
  <c r="D179"/>
  <c r="D178"/>
  <c r="D177"/>
  <c r="D176"/>
  <c r="D175"/>
  <c r="AL174"/>
  <c r="AK174"/>
  <c r="AJ174"/>
  <c r="AI174"/>
  <c r="AH174"/>
  <c r="AG174"/>
  <c r="AF174"/>
  <c r="D174"/>
  <c r="AL173"/>
  <c r="AJ173"/>
  <c r="AI173"/>
  <c r="AH173"/>
  <c r="AG173"/>
  <c r="D173"/>
  <c r="D172"/>
  <c r="AK171"/>
  <c r="AJ171"/>
  <c r="AI171"/>
  <c r="AH171"/>
  <c r="AG171"/>
  <c r="AF171"/>
  <c r="D171"/>
  <c r="D170"/>
  <c r="E169"/>
  <c r="D169"/>
  <c r="D168"/>
  <c r="D167"/>
  <c r="D166"/>
  <c r="D165"/>
  <c r="D164"/>
  <c r="D163"/>
  <c r="D162"/>
  <c r="E161"/>
  <c r="D161"/>
  <c r="D160"/>
  <c r="D159"/>
  <c r="D158"/>
  <c r="D157"/>
  <c r="D156"/>
  <c r="D155"/>
  <c r="D154"/>
  <c r="AL153"/>
  <c r="AK153"/>
  <c r="AJ153"/>
  <c r="AI153"/>
  <c r="AH153"/>
  <c r="AG153"/>
  <c r="AF153"/>
  <c r="D153"/>
  <c r="AK152"/>
  <c r="AJ152"/>
  <c r="AG152"/>
  <c r="D152"/>
  <c r="D151"/>
  <c r="D150"/>
  <c r="D149"/>
  <c r="D148"/>
  <c r="AJ147"/>
  <c r="AG147"/>
  <c r="D147"/>
  <c r="D146"/>
  <c r="AK145"/>
  <c r="AJ145"/>
  <c r="AG145"/>
  <c r="D145"/>
  <c r="D144"/>
  <c r="D143"/>
  <c r="AL142"/>
  <c r="AK142"/>
  <c r="AJ142"/>
  <c r="AI142"/>
  <c r="AH142"/>
  <c r="AG142"/>
  <c r="AF142"/>
  <c r="D142"/>
  <c r="E141"/>
  <c r="D141"/>
  <c r="D140"/>
  <c r="D139"/>
  <c r="D138"/>
  <c r="D137"/>
  <c r="D136"/>
  <c r="D135"/>
  <c r="E134"/>
  <c r="D134"/>
  <c r="D133"/>
  <c r="D132"/>
  <c r="D131"/>
  <c r="D130"/>
  <c r="D129"/>
  <c r="D128"/>
  <c r="D127"/>
  <c r="D126"/>
  <c r="D125"/>
  <c r="D124"/>
  <c r="D123"/>
  <c r="D122"/>
  <c r="E121"/>
  <c r="D121"/>
  <c r="D120"/>
  <c r="D119"/>
  <c r="D118"/>
  <c r="D117"/>
  <c r="D116"/>
  <c r="D115"/>
  <c r="E114"/>
  <c r="D114"/>
  <c r="D113"/>
  <c r="D112"/>
  <c r="D111"/>
  <c r="D110"/>
  <c r="D109"/>
  <c r="D108"/>
  <c r="D107"/>
  <c r="D106"/>
  <c r="D105"/>
  <c r="D104"/>
  <c r="D103"/>
  <c r="D102"/>
  <c r="D101"/>
  <c r="E100"/>
  <c r="D100"/>
  <c r="D99"/>
  <c r="D98"/>
  <c r="D97"/>
  <c r="D96"/>
  <c r="D95"/>
  <c r="D94"/>
  <c r="E93"/>
  <c r="D93"/>
  <c r="D92"/>
  <c r="D91"/>
  <c r="D90"/>
  <c r="D89"/>
  <c r="D88"/>
  <c r="E87"/>
  <c r="D87"/>
  <c r="D86"/>
  <c r="D85"/>
  <c r="D84"/>
  <c r="D83"/>
  <c r="D82"/>
  <c r="D81"/>
  <c r="D80"/>
  <c r="E79"/>
  <c r="D79"/>
  <c r="D78"/>
  <c r="D77"/>
  <c r="D76"/>
  <c r="D75"/>
  <c r="D74"/>
  <c r="D73"/>
  <c r="D72"/>
  <c r="D71"/>
  <c r="D70"/>
  <c r="D69"/>
  <c r="D68"/>
  <c r="D67"/>
  <c r="D66"/>
  <c r="E65"/>
  <c r="D65"/>
  <c r="D64"/>
  <c r="D63"/>
  <c r="D62"/>
  <c r="D61"/>
  <c r="D60"/>
  <c r="D59"/>
  <c r="E58"/>
  <c r="D58"/>
  <c r="D57"/>
  <c r="D56"/>
  <c r="D55"/>
  <c r="D54"/>
  <c r="D53"/>
  <c r="D52"/>
  <c r="D51"/>
  <c r="D50"/>
  <c r="D49"/>
  <c r="D48"/>
  <c r="E47"/>
  <c r="D47"/>
  <c r="D46"/>
  <c r="D45"/>
  <c r="D44"/>
  <c r="D43"/>
  <c r="D42"/>
  <c r="D41"/>
  <c r="D40"/>
  <c r="E39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E20"/>
  <c r="H2" s="1"/>
  <c r="K2" s="1"/>
  <c r="D20"/>
  <c r="D19"/>
  <c r="D18"/>
  <c r="D17"/>
  <c r="D16"/>
  <c r="D15"/>
  <c r="D14"/>
  <c r="E13"/>
  <c r="D13"/>
  <c r="D12"/>
  <c r="D11"/>
  <c r="D10"/>
  <c r="D9"/>
  <c r="D8"/>
  <c r="D7"/>
  <c r="D6"/>
  <c r="D5"/>
  <c r="D4"/>
  <c r="E3"/>
  <c r="F2" s="1"/>
  <c r="E2"/>
  <c r="E562" i="2"/>
  <c r="B562"/>
  <c r="E561"/>
  <c r="B561"/>
  <c r="E546"/>
  <c r="B546"/>
  <c r="E545"/>
  <c r="B545"/>
  <c r="E530"/>
  <c r="B530"/>
  <c r="E529"/>
  <c r="B529"/>
  <c r="E526"/>
  <c r="B526"/>
  <c r="E525"/>
  <c r="B525"/>
  <c r="E523"/>
  <c r="B523"/>
  <c r="E470"/>
  <c r="B470"/>
  <c r="E469"/>
  <c r="B469"/>
  <c r="E442"/>
  <c r="B442"/>
  <c r="E441"/>
  <c r="B441"/>
  <c r="E439"/>
  <c r="B439"/>
  <c r="E438"/>
  <c r="B438"/>
  <c r="E393"/>
  <c r="B393"/>
  <c r="E392"/>
  <c r="B392"/>
  <c r="J2" i="4" l="1"/>
</calcChain>
</file>

<file path=xl/sharedStrings.xml><?xml version="1.0" encoding="utf-8"?>
<sst xmlns="http://schemas.openxmlformats.org/spreadsheetml/2006/main" count="6635" uniqueCount="1787">
  <si>
    <t>Jan</t>
  </si>
  <si>
    <t>ČR</t>
  </si>
  <si>
    <t>Fena / Female</t>
  </si>
  <si>
    <t>IGP3</t>
  </si>
  <si>
    <t>Souhlasím / I agree</t>
  </si>
  <si>
    <t>Pes / Male</t>
  </si>
  <si>
    <t>Martina</t>
  </si>
  <si>
    <t>Lukáš</t>
  </si>
  <si>
    <t>Stanios</t>
  </si>
  <si>
    <t>Staniová Veronika</t>
  </si>
  <si>
    <t>Pavel</t>
  </si>
  <si>
    <t>Česká republika</t>
  </si>
  <si>
    <t>Jaroslav</t>
  </si>
  <si>
    <t>Jana</t>
  </si>
  <si>
    <t>Daniela</t>
  </si>
  <si>
    <t>Jihlava</t>
  </si>
  <si>
    <t>Michaela</t>
  </si>
  <si>
    <t>CZ</t>
  </si>
  <si>
    <t>Václav</t>
  </si>
  <si>
    <t>Luděk</t>
  </si>
  <si>
    <t>Leryka</t>
  </si>
  <si>
    <t>Rysová Lenka</t>
  </si>
  <si>
    <t>Milan</t>
  </si>
  <si>
    <t>Věra</t>
  </si>
  <si>
    <t>Německý ovčák - krátkosrstý / German Shepherd - short hair</t>
  </si>
  <si>
    <t>0/0</t>
  </si>
  <si>
    <t>ED (0/0)</t>
  </si>
  <si>
    <t>Boženy Němcové</t>
  </si>
  <si>
    <t>Jirkov</t>
  </si>
  <si>
    <t>Česká Republika</t>
  </si>
  <si>
    <t>5JY1/P</t>
  </si>
  <si>
    <t>Petra</t>
  </si>
  <si>
    <t>BH-VT, IGP 3</t>
  </si>
  <si>
    <t>A</t>
  </si>
  <si>
    <t>Karlovy Vary</t>
  </si>
  <si>
    <t>Monika</t>
  </si>
  <si>
    <t>Ivana</t>
  </si>
  <si>
    <t>Německý ovčák - dlouhosrstý / German Shepherd - long hair</t>
  </si>
  <si>
    <t>HD A</t>
  </si>
  <si>
    <t>ED 0/0</t>
  </si>
  <si>
    <t>B/B</t>
  </si>
  <si>
    <t>A normal</t>
  </si>
  <si>
    <t>KVV - Dospívajících</t>
  </si>
  <si>
    <t>Štěpánka</t>
  </si>
  <si>
    <t>Janatová</t>
  </si>
  <si>
    <t>+420 777 260 568</t>
  </si>
  <si>
    <t>Zátiší</t>
  </si>
  <si>
    <t>Nový Bor</t>
  </si>
  <si>
    <t>rojanatak@seznam.cz</t>
  </si>
  <si>
    <t>VELLO</t>
  </si>
  <si>
    <t>vom EICHENPLATZ</t>
  </si>
  <si>
    <t>Osana vd Schmiede</t>
  </si>
  <si>
    <t>Tell v. Ghattas</t>
  </si>
  <si>
    <t>CMKU/DS/127360/21</t>
  </si>
  <si>
    <t>KVV - Pracovní</t>
  </si>
  <si>
    <t>Veronika</t>
  </si>
  <si>
    <t>Staniová</t>
  </si>
  <si>
    <t>Přibylova 14</t>
  </si>
  <si>
    <t>249/14</t>
  </si>
  <si>
    <t>Ostrava Kunčice</t>
  </si>
  <si>
    <t>verka.cerv@seznam.cz</t>
  </si>
  <si>
    <t>Carmen</t>
  </si>
  <si>
    <t>BH,ZPU1,ZVV1,ZOP,Z- ZTP</t>
  </si>
  <si>
    <t>SJXZ1/P</t>
  </si>
  <si>
    <t>Vega Mir-Jar</t>
  </si>
  <si>
    <t>Quoran d´Ulmental</t>
  </si>
  <si>
    <t>CNKU/DS/97332/15/16</t>
  </si>
  <si>
    <t>Barbora</t>
  </si>
  <si>
    <t>KVV - Dorost I</t>
  </si>
  <si>
    <t>Tomas</t>
  </si>
  <si>
    <t>Rychnovský</t>
  </si>
  <si>
    <t>Růžová, 265</t>
  </si>
  <si>
    <t>Růžová</t>
  </si>
  <si>
    <t>Cz</t>
  </si>
  <si>
    <t>407 14</t>
  </si>
  <si>
    <t>TomasRychnovsky@seznam.cz</t>
  </si>
  <si>
    <t>Sia Rosa</t>
  </si>
  <si>
    <t>od Hradčanského rybníka</t>
  </si>
  <si>
    <t>900163000124403/16577</t>
  </si>
  <si>
    <t>Fler od Hradčanského rybníka</t>
  </si>
  <si>
    <t>Hanibal Leryka</t>
  </si>
  <si>
    <t>CMKU/DS/124479/20</t>
  </si>
  <si>
    <t>KVV - Dorost II</t>
  </si>
  <si>
    <t>Šárka</t>
  </si>
  <si>
    <t>Pružinová</t>
  </si>
  <si>
    <t>+420 607 538 828</t>
  </si>
  <si>
    <t>Školní</t>
  </si>
  <si>
    <t>699/20</t>
  </si>
  <si>
    <t>360 17</t>
  </si>
  <si>
    <t>fauben@centrum.cz</t>
  </si>
  <si>
    <t xml:space="preserve">Charlota </t>
  </si>
  <si>
    <t>Fauben</t>
  </si>
  <si>
    <t>Rouzie Fauben</t>
  </si>
  <si>
    <t>Tao Marko Carras</t>
  </si>
  <si>
    <t>CMKU/DS/124277/20</t>
  </si>
  <si>
    <t>KVV - Mladých</t>
  </si>
  <si>
    <t xml:space="preserve">Gamora </t>
  </si>
  <si>
    <t>Odetta Fauben</t>
  </si>
  <si>
    <t>Parson Framato Rolau</t>
  </si>
  <si>
    <t>CMKU/DS/120691/20</t>
  </si>
  <si>
    <t>Jiří</t>
  </si>
  <si>
    <t>Lenka</t>
  </si>
  <si>
    <t>Iveta</t>
  </si>
  <si>
    <t>Bačáková</t>
  </si>
  <si>
    <t>+420739430196</t>
  </si>
  <si>
    <t>Polešovice</t>
  </si>
  <si>
    <t>bacakova.iveta@seznam.cz</t>
  </si>
  <si>
    <t>Ivaa MIR-JAR</t>
  </si>
  <si>
    <t>Ondra MIR-JAR</t>
  </si>
  <si>
    <t>CMKU/DS/124843/20</t>
  </si>
  <si>
    <t>Košařová</t>
  </si>
  <si>
    <t>blackberry382016@gmail.com</t>
  </si>
  <si>
    <t>A/A</t>
  </si>
  <si>
    <t>Normal</t>
  </si>
  <si>
    <t>Podkovičáková</t>
  </si>
  <si>
    <t>+420777158333</t>
  </si>
  <si>
    <t xml:space="preserve">Podzámecká </t>
  </si>
  <si>
    <t>Kosmonosy</t>
  </si>
  <si>
    <t>kondinova@volny.cz</t>
  </si>
  <si>
    <t>Simonn</t>
  </si>
  <si>
    <t>Ornis-Bohemia</t>
  </si>
  <si>
    <t>ZVV1, BH</t>
  </si>
  <si>
    <t>5JX1/P</t>
  </si>
  <si>
    <t>Dina Hartis Bohemia</t>
  </si>
  <si>
    <t>Thiago von der Piste Trophe</t>
  </si>
  <si>
    <t>Daffi</t>
  </si>
  <si>
    <t>Kondi Nova</t>
  </si>
  <si>
    <t>ZVV1</t>
  </si>
  <si>
    <t>Wanessa Kondi Nova</t>
  </si>
  <si>
    <t>Christo Zdekra</t>
  </si>
  <si>
    <t>Dana</t>
  </si>
  <si>
    <t>Čejková</t>
  </si>
  <si>
    <t>+420 604 202 282</t>
  </si>
  <si>
    <t>Struhy 86</t>
  </si>
  <si>
    <t>Čachovice</t>
  </si>
  <si>
    <t>294 43</t>
  </si>
  <si>
    <t>info@veterina-horky.cz</t>
  </si>
  <si>
    <t>Fanny</t>
  </si>
  <si>
    <t>Kibitz Bohemia</t>
  </si>
  <si>
    <t>Izzy Redox</t>
  </si>
  <si>
    <t>Usher aus der Brunnenstrasse</t>
  </si>
  <si>
    <t>CKNO/DS/124500/20</t>
  </si>
  <si>
    <t xml:space="preserve">Fox </t>
  </si>
  <si>
    <t>CKNO/DS/124497/20</t>
  </si>
  <si>
    <t>Veterán</t>
  </si>
  <si>
    <t>Vladimír</t>
  </si>
  <si>
    <t>Brynda</t>
  </si>
  <si>
    <t>724 358 360</t>
  </si>
  <si>
    <t>Vojkovice</t>
  </si>
  <si>
    <t>damylůjunior@seznam.cz</t>
  </si>
  <si>
    <t>Polly</t>
  </si>
  <si>
    <t>Damyl Junior</t>
  </si>
  <si>
    <t>Německý ovčák krátkosrstý</t>
  </si>
  <si>
    <t>ZVV 1, BH, FPr 1-3, ZZO, SPr 1, FH 1, FH 2</t>
  </si>
  <si>
    <t>5JX/p</t>
  </si>
  <si>
    <t>Chelsea Framato Rolau</t>
  </si>
  <si>
    <t>Calle v. Uckerland</t>
  </si>
  <si>
    <t>CMKU/DS/82412/11/14</t>
  </si>
  <si>
    <t>Pracovní</t>
  </si>
  <si>
    <t>Marian</t>
  </si>
  <si>
    <t>Pekárek</t>
  </si>
  <si>
    <t>777 779 163</t>
  </si>
  <si>
    <t>Strahovice</t>
  </si>
  <si>
    <t>petrasulova@seznam.cz</t>
  </si>
  <si>
    <t>Villy</t>
  </si>
  <si>
    <t>Gard Bohemia</t>
  </si>
  <si>
    <t>58487/900219000008543</t>
  </si>
  <si>
    <t>Clea z Doliny lotosu</t>
  </si>
  <si>
    <t>Granit Gard Bohemia</t>
  </si>
  <si>
    <t>CMKU/DS/115042/18/21</t>
  </si>
  <si>
    <t>Dospívajících</t>
  </si>
  <si>
    <t>Cooper</t>
  </si>
  <si>
    <t>58662/963007200015403</t>
  </si>
  <si>
    <t>Hetty MI9</t>
  </si>
  <si>
    <t>Garret Gard Bohemia</t>
  </si>
  <si>
    <t>Clia</t>
  </si>
  <si>
    <t>58665/963007200007020</t>
  </si>
  <si>
    <t>CMKU/DS/119784/19</t>
  </si>
  <si>
    <t>Dorost II.</t>
  </si>
  <si>
    <t>Marie</t>
  </si>
  <si>
    <t>Záborcová</t>
  </si>
  <si>
    <t>777 558 900</t>
  </si>
  <si>
    <t>U Vodojemu</t>
  </si>
  <si>
    <t>Jenišov</t>
  </si>
  <si>
    <t>zaborcova@gmail.com</t>
  </si>
  <si>
    <t>Leron</t>
  </si>
  <si>
    <t>Maserau</t>
  </si>
  <si>
    <t>82494/900182002089502</t>
  </si>
  <si>
    <t>Sabaty van ContraHaus</t>
  </si>
  <si>
    <t>Neron Zedesen Dog</t>
  </si>
  <si>
    <t>KVV - Veterán</t>
  </si>
  <si>
    <t>PK</t>
  </si>
  <si>
    <t>Hana</t>
  </si>
  <si>
    <t>KASTLOVÁ</t>
  </si>
  <si>
    <t>+420606102697</t>
  </si>
  <si>
    <t xml:space="preserve">Vráto </t>
  </si>
  <si>
    <t>České Budějovice</t>
  </si>
  <si>
    <t>česko</t>
  </si>
  <si>
    <t>leryka.no@seznam.cz</t>
  </si>
  <si>
    <t>Brixx</t>
  </si>
  <si>
    <t>Hartis Bohemia</t>
  </si>
  <si>
    <t>BH,ZVV1,IPO1,FPr1</t>
  </si>
  <si>
    <t>Funny Hartis Bohemia</t>
  </si>
  <si>
    <t>Ober v, Bad-Boll</t>
  </si>
  <si>
    <t>CMKU/DS/90799/13</t>
  </si>
  <si>
    <t>PD</t>
  </si>
  <si>
    <t>Pistulková</t>
  </si>
  <si>
    <t>Josefa Lady</t>
  </si>
  <si>
    <t>Plzeň</t>
  </si>
  <si>
    <t>rodina.pp@tiscali.cz</t>
  </si>
  <si>
    <t>Jimmi</t>
  </si>
  <si>
    <t>Best of the Gods</t>
  </si>
  <si>
    <t>ZVV1, BH, Spr1-3</t>
  </si>
  <si>
    <t>5JXZ1/P</t>
  </si>
  <si>
    <t>Dafnie Best of the Gods</t>
  </si>
  <si>
    <t>Onex vom Gerianian Hoff</t>
  </si>
  <si>
    <t>CMKU/DS/102858/16/18</t>
  </si>
  <si>
    <t>HD A(0/0)</t>
  </si>
  <si>
    <t>Karel</t>
  </si>
  <si>
    <t>SEDLÁK</t>
  </si>
  <si>
    <t>+420 776 646 807</t>
  </si>
  <si>
    <t>Strašice</t>
  </si>
  <si>
    <t>338 45</t>
  </si>
  <si>
    <t>sedkars@tiscali.cz</t>
  </si>
  <si>
    <t>SAYMON</t>
  </si>
  <si>
    <t>ze Sedkaru</t>
  </si>
  <si>
    <t>203098100446779cze                       23093</t>
  </si>
  <si>
    <t>ZM, ZVV1, BH, FPr1</t>
  </si>
  <si>
    <t>5JX1/p   1.tř.doživotně</t>
  </si>
  <si>
    <t>KELISCHA ze Sedkaru</t>
  </si>
  <si>
    <t>EMMO Framato Rolau</t>
  </si>
  <si>
    <t>CMKU/DS/103768/16/18</t>
  </si>
  <si>
    <t>FK</t>
  </si>
  <si>
    <t>Kostková</t>
  </si>
  <si>
    <t>603 112 007</t>
  </si>
  <si>
    <t>Náves</t>
  </si>
  <si>
    <t>Zlín - Louky</t>
  </si>
  <si>
    <t>kennel@eimihof.eu</t>
  </si>
  <si>
    <t>Arach</t>
  </si>
  <si>
    <t>Eimi Hof</t>
  </si>
  <si>
    <t>56955/941000016804138</t>
  </si>
  <si>
    <t>BH-VT, IGP 1</t>
  </si>
  <si>
    <t>KKL</t>
  </si>
  <si>
    <t>Eimi Avax Hof</t>
  </si>
  <si>
    <t>Jax Dei Precision</t>
  </si>
  <si>
    <t>CMKU/DS/109714/17</t>
  </si>
  <si>
    <t>normal</t>
  </si>
  <si>
    <t>Aris</t>
  </si>
  <si>
    <t>56956/941000016804137</t>
  </si>
  <si>
    <t>BH-VT, IGP 1, IGP 2</t>
  </si>
  <si>
    <t>CMKU/DS/109715/17</t>
  </si>
  <si>
    <t>Půža</t>
  </si>
  <si>
    <t>777 04 04 88</t>
  </si>
  <si>
    <t>Lípová</t>
  </si>
  <si>
    <t>U Tayra</t>
  </si>
  <si>
    <t>NOK</t>
  </si>
  <si>
    <t>Ira Mir-Jar</t>
  </si>
  <si>
    <t>Lucka vom Buchenland</t>
  </si>
  <si>
    <t>CMKU/DS/119907/19</t>
  </si>
  <si>
    <t>dorost I.</t>
  </si>
  <si>
    <t>Atos</t>
  </si>
  <si>
    <t>Can-Do Spirit</t>
  </si>
  <si>
    <t>Ondra Mir-Jar</t>
  </si>
  <si>
    <t>Dorost I.</t>
  </si>
  <si>
    <t>Aen</t>
  </si>
  <si>
    <t>Ira</t>
  </si>
  <si>
    <t>Mir-Jar</t>
  </si>
  <si>
    <t>53573/203094100002552</t>
  </si>
  <si>
    <t>Betty Mihapa</t>
  </si>
  <si>
    <t>Mark vom Pendler</t>
  </si>
  <si>
    <t>CMKU/DS/106874/17/19</t>
  </si>
  <si>
    <t>B</t>
  </si>
  <si>
    <t>77 04 04 88</t>
  </si>
  <si>
    <t>Renno</t>
  </si>
  <si>
    <t>53706/981020000675840</t>
  </si>
  <si>
    <t>Cora Mir-Jar</t>
  </si>
  <si>
    <t>Ferari Mir-Jar</t>
  </si>
  <si>
    <t>CMKU/DS/116214/19</t>
  </si>
  <si>
    <t>Kutnar</t>
  </si>
  <si>
    <t>Svébořická</t>
  </si>
  <si>
    <t>Mimoň</t>
  </si>
  <si>
    <t>staj.kutnar@centrum.cz</t>
  </si>
  <si>
    <t xml:space="preserve">Umek </t>
  </si>
  <si>
    <t>z Tuháňské fary</t>
  </si>
  <si>
    <t>28590/941000024836765</t>
  </si>
  <si>
    <t>Turandot z Tuháňské fary</t>
  </si>
  <si>
    <t>Brutus King Regent</t>
  </si>
  <si>
    <t>Šejdová</t>
  </si>
  <si>
    <t>737 958 869</t>
  </si>
  <si>
    <t>nad Skálou</t>
  </si>
  <si>
    <t>Velká Bystřice</t>
  </si>
  <si>
    <t>j.sejdova@email.cz</t>
  </si>
  <si>
    <t>Jeckye</t>
  </si>
  <si>
    <t>z Folinku</t>
  </si>
  <si>
    <t>62282/963007200015425</t>
  </si>
  <si>
    <t>Ira z Folinku</t>
  </si>
  <si>
    <t>Kampus vom Drei Birkenzwinger</t>
  </si>
  <si>
    <t>CMKU/DS/120028/19</t>
  </si>
  <si>
    <t>nad skálou</t>
  </si>
  <si>
    <t>Bella</t>
  </si>
  <si>
    <t>di Grande Torrente</t>
  </si>
  <si>
    <t>86972/203001003639224</t>
  </si>
  <si>
    <t>Oxana z Folinku</t>
  </si>
  <si>
    <t>Iago Di Val Santanna</t>
  </si>
  <si>
    <t>CMKU/DS/120269</t>
  </si>
  <si>
    <t>velká Bystřice</t>
  </si>
  <si>
    <t>Amalia</t>
  </si>
  <si>
    <t>67236/900085001000466</t>
  </si>
  <si>
    <t>CMKU/DS/117997/19</t>
  </si>
  <si>
    <t>Bartošová</t>
  </si>
  <si>
    <t>Mírová</t>
  </si>
  <si>
    <t>Rychnov nad Kněžnou</t>
  </si>
  <si>
    <t>bartos.petra@seznam.cz</t>
  </si>
  <si>
    <t>Xanta</t>
  </si>
  <si>
    <t>39808/953010004503470</t>
  </si>
  <si>
    <t>BH</t>
  </si>
  <si>
    <t>Irra Hartis Bohemia</t>
  </si>
  <si>
    <t>Gary vom Hühnegrab</t>
  </si>
  <si>
    <t>CMKU/DS/119206/19</t>
  </si>
  <si>
    <t>Xarra</t>
  </si>
  <si>
    <t>39806/953010004503443</t>
  </si>
  <si>
    <t>CMKU/DS/119204/19</t>
  </si>
  <si>
    <t>Zuzana</t>
  </si>
  <si>
    <t>Horynová</t>
  </si>
  <si>
    <t>Ostrovní</t>
  </si>
  <si>
    <t>Varnsdorf</t>
  </si>
  <si>
    <t>zackie@post.cz</t>
  </si>
  <si>
    <t>Yago</t>
  </si>
  <si>
    <t>39817/941000024666571</t>
  </si>
  <si>
    <t>Herra Hartis Bohemia</t>
  </si>
  <si>
    <t>Veneze Raul</t>
  </si>
  <si>
    <t>Alena</t>
  </si>
  <si>
    <t>Součková</t>
  </si>
  <si>
    <t>Pod ptačí skálou</t>
  </si>
  <si>
    <t>Beroun</t>
  </si>
  <si>
    <t>souckova.alena@seznam.cz</t>
  </si>
  <si>
    <t>Grim</t>
  </si>
  <si>
    <t>71345/900203000056166</t>
  </si>
  <si>
    <t>Erryne Best of the Gods</t>
  </si>
  <si>
    <t>Zac dei Precision</t>
  </si>
  <si>
    <t>Denisa</t>
  </si>
  <si>
    <t>Zborková</t>
  </si>
  <si>
    <t>+420 721 802 221</t>
  </si>
  <si>
    <t xml:space="preserve">Vitín </t>
  </si>
  <si>
    <t>Ševětín</t>
  </si>
  <si>
    <t>373 63</t>
  </si>
  <si>
    <t>deni.zb@icloud.com</t>
  </si>
  <si>
    <t xml:space="preserve">Kodaline </t>
  </si>
  <si>
    <t>956000009585767 (13630)</t>
  </si>
  <si>
    <t>IGP3, FPr2, SPr2</t>
  </si>
  <si>
    <t>Iness vom Cap Arkona</t>
  </si>
  <si>
    <t>Pike del Lupo Nero</t>
  </si>
  <si>
    <t>Mgr. Jiří</t>
  </si>
  <si>
    <t>Dovrtěl, LL.M</t>
  </si>
  <si>
    <t>Chářovská</t>
  </si>
  <si>
    <t>Krnov</t>
  </si>
  <si>
    <t>fromgeorgeland@seznam.cz</t>
  </si>
  <si>
    <t>Xara</t>
  </si>
  <si>
    <t>from Georgeland</t>
  </si>
  <si>
    <t>-</t>
  </si>
  <si>
    <t>Victoria Hartis Bohemia</t>
  </si>
  <si>
    <t>Karlo vom Team Arlett</t>
  </si>
  <si>
    <t>CMKU/DS/123714/20</t>
  </si>
  <si>
    <t>Dovrtěl, LL.M.</t>
  </si>
  <si>
    <t>Wara</t>
  </si>
  <si>
    <t>Orsee vom Messina</t>
  </si>
  <si>
    <t>Jack-Daniel's von Arlett</t>
  </si>
  <si>
    <t>CMKU/DS/123241/20</t>
  </si>
  <si>
    <t>Karlo</t>
  </si>
  <si>
    <t>vom Team Arlett</t>
  </si>
  <si>
    <t>AD, BH, IPO 1, IPO 2</t>
  </si>
  <si>
    <t>Angekört auf Lebenszeit</t>
  </si>
  <si>
    <t>Brady du Val D'Anzin</t>
  </si>
  <si>
    <t>Quentino von Arlett</t>
  </si>
  <si>
    <t>CMKU/122426/20/20</t>
  </si>
  <si>
    <t>Rony</t>
  </si>
  <si>
    <t>BH-VT, ZZO, ZVV 1</t>
  </si>
  <si>
    <t>1. třída chovnosti 5JX2/P</t>
  </si>
  <si>
    <t>Kaira Best of the Gods</t>
  </si>
  <si>
    <t>Falco z Lipé Moravia</t>
  </si>
  <si>
    <t>CMKU/DS/117810/19</t>
  </si>
  <si>
    <t>Zerie</t>
  </si>
  <si>
    <t>Kerie from Georgeland</t>
  </si>
  <si>
    <t>CMKU/DS/124449/20</t>
  </si>
  <si>
    <t>Koloušek</t>
  </si>
  <si>
    <t>náměstí Svobody</t>
  </si>
  <si>
    <t>Volyně</t>
  </si>
  <si>
    <t>jirka.kol@centrum.cz</t>
  </si>
  <si>
    <t>Rocky</t>
  </si>
  <si>
    <t>teto - 16578 , Čip - 900163000124410</t>
  </si>
  <si>
    <t>Megie od Hradčanského rybníka</t>
  </si>
  <si>
    <t>Al Pacino Peinner Burgpark</t>
  </si>
  <si>
    <t>CMKU/DS/124471/20</t>
  </si>
  <si>
    <t xml:space="preserve">náměstí Svobody </t>
  </si>
  <si>
    <t>Megie</t>
  </si>
  <si>
    <t>Teto - 16080, čip - 953010001990718</t>
  </si>
  <si>
    <t>5JVQ1/P</t>
  </si>
  <si>
    <t>Flér od Hradčanského rybníka</t>
  </si>
  <si>
    <t>Apollo v.Schloss Solitude</t>
  </si>
  <si>
    <t>CMKU/DS/107932/17/20</t>
  </si>
  <si>
    <t xml:space="preserve">Molly </t>
  </si>
  <si>
    <t>Starý samotár</t>
  </si>
  <si>
    <t>5U1/P</t>
  </si>
  <si>
    <t>Nana Vicona</t>
  </si>
  <si>
    <t>Odin Nundu</t>
  </si>
  <si>
    <t>CMKU/DS/121262/20</t>
  </si>
  <si>
    <t>KVV Pracovní</t>
  </si>
  <si>
    <t>Tomáš</t>
  </si>
  <si>
    <t>Rychetský</t>
  </si>
  <si>
    <t>736 430 886</t>
  </si>
  <si>
    <t>Telečská</t>
  </si>
  <si>
    <t>jihland@email.cz</t>
  </si>
  <si>
    <t>Tess</t>
  </si>
  <si>
    <t>53733/953010004157213</t>
  </si>
  <si>
    <t>5JX1/P, 1. třída</t>
  </si>
  <si>
    <t>Feliša Mir-Jar</t>
  </si>
  <si>
    <t>KVV Dorost I.</t>
  </si>
  <si>
    <t>Enigma</t>
  </si>
  <si>
    <t>Jihland</t>
  </si>
  <si>
    <t>Hádes Mir-Jar</t>
  </si>
  <si>
    <t>Nemo Mir-Jar</t>
  </si>
  <si>
    <t>KVV Dorost II.</t>
  </si>
  <si>
    <t>Albín</t>
  </si>
  <si>
    <t>Majsniar</t>
  </si>
  <si>
    <t>00420905259122</t>
  </si>
  <si>
    <t>Vyhne</t>
  </si>
  <si>
    <t>Slovenská republika</t>
  </si>
  <si>
    <t>dlharoven@post.sk</t>
  </si>
  <si>
    <t>Zallo</t>
  </si>
  <si>
    <t>vom Fichtenschlag</t>
  </si>
  <si>
    <t>Millana da Val D'Anzin</t>
  </si>
  <si>
    <t>Wacrondel Rione Antico</t>
  </si>
  <si>
    <t>Zarada</t>
  </si>
  <si>
    <t>Dlhá Roveň</t>
  </si>
  <si>
    <t>77159/941000023296945</t>
  </si>
  <si>
    <t>SVV2</t>
  </si>
  <si>
    <t>Körkl.</t>
  </si>
  <si>
    <t>Farah Dlhá Roveň</t>
  </si>
  <si>
    <t>Terrino Dlhá Roveň</t>
  </si>
  <si>
    <t>Elly</t>
  </si>
  <si>
    <t>78143/900182001779405</t>
  </si>
  <si>
    <t>SVV1</t>
  </si>
  <si>
    <t>Faby v. d. Piste Trophe</t>
  </si>
  <si>
    <t>KVV Mladých</t>
  </si>
  <si>
    <t>Tifany</t>
  </si>
  <si>
    <t>80971/941020025120728</t>
  </si>
  <si>
    <t>Talome Dlhá Roveň</t>
  </si>
  <si>
    <t>Naxos Dlhá Roveň</t>
  </si>
  <si>
    <t>Vamira</t>
  </si>
  <si>
    <t>81206/941000025123727</t>
  </si>
  <si>
    <t>Tristan Dlhá Roveň</t>
  </si>
  <si>
    <t>Cloe</t>
  </si>
  <si>
    <t>82762/941000025900253</t>
  </si>
  <si>
    <t>Chloe Sherpy</t>
  </si>
  <si>
    <t>FD</t>
  </si>
  <si>
    <t>Skrbková</t>
  </si>
  <si>
    <t>+420 606 714 655</t>
  </si>
  <si>
    <t>Táboritská</t>
  </si>
  <si>
    <t>Dvůr Králové nad Labem</t>
  </si>
  <si>
    <t>544 01</t>
  </si>
  <si>
    <t>ivopolan@gmail.com</t>
  </si>
  <si>
    <t>Renie</t>
  </si>
  <si>
    <t>Navaro Bohemia</t>
  </si>
  <si>
    <t>Blondie Hantrix Bohemia</t>
  </si>
  <si>
    <t>Chrius Navaro Bohemia</t>
  </si>
  <si>
    <t>CMKU/DS/120973/20</t>
  </si>
  <si>
    <t>Miroslav</t>
  </si>
  <si>
    <t>bd67@seznam.cz</t>
  </si>
  <si>
    <t>Sebera</t>
  </si>
  <si>
    <t>Zbytky</t>
  </si>
  <si>
    <t>Rychvald</t>
  </si>
  <si>
    <t>fujarafujara@seznam.cz</t>
  </si>
  <si>
    <t>Palme</t>
  </si>
  <si>
    <t>89572/941000024679085</t>
  </si>
  <si>
    <t>Yeny Hartis Bohemia</t>
  </si>
  <si>
    <t>Xantto Hartis Bohemia</t>
  </si>
  <si>
    <t>CMKU/DS/106542/17/19</t>
  </si>
  <si>
    <t>Prokopová</t>
  </si>
  <si>
    <t>+420608856420</t>
  </si>
  <si>
    <t>Hlásnice</t>
  </si>
  <si>
    <t>Šternberk</t>
  </si>
  <si>
    <t>785 01</t>
  </si>
  <si>
    <t>astra2a@seznam.cz</t>
  </si>
  <si>
    <t>Vanessa</t>
  </si>
  <si>
    <t>Bri-JAck</t>
  </si>
  <si>
    <t>ZVV2, ZPO1, BH, SPR3, IGP3</t>
  </si>
  <si>
    <t>Quirien Bri-JAck</t>
  </si>
  <si>
    <t>Xantto HArtis Bohemia</t>
  </si>
  <si>
    <t>CMKU/DS/101783/16</t>
  </si>
  <si>
    <t>Agi</t>
  </si>
  <si>
    <t>ZVV1, BH, SPR1, IGP2</t>
  </si>
  <si>
    <t>Artuš Scania Hof</t>
  </si>
  <si>
    <t>CMKU/DS/114533/18/20</t>
  </si>
  <si>
    <t>Hlásnice 19</t>
  </si>
  <si>
    <t xml:space="preserve">CAiron </t>
  </si>
  <si>
    <t>ZVV1, BH, SPR1</t>
  </si>
  <si>
    <t>Odeta Bri-Jack</t>
  </si>
  <si>
    <t>Wasco Bri-JAck</t>
  </si>
  <si>
    <t>CMKU/DS/119593/19</t>
  </si>
  <si>
    <t>Codeta</t>
  </si>
  <si>
    <t>CMKU/DS/119595/19</t>
  </si>
  <si>
    <t>Orry</t>
  </si>
  <si>
    <t>Hartis BOhemia</t>
  </si>
  <si>
    <t>ZVV1, BH, SPR3, IGP3</t>
  </si>
  <si>
    <t>Mirra Hartis Bohemia</t>
  </si>
  <si>
    <t>Gordon von Regina Pacis</t>
  </si>
  <si>
    <t>CMKU/DS/104776/16/18</t>
  </si>
  <si>
    <t>Renata</t>
  </si>
  <si>
    <t>Bínová</t>
  </si>
  <si>
    <t>+420 723 872 988</t>
  </si>
  <si>
    <t>Chvalšiny  181</t>
  </si>
  <si>
    <t>Chvalšiny</t>
  </si>
  <si>
    <t>renatabinova@centrum.cz</t>
  </si>
  <si>
    <t>Zafra Hartis Bohemia</t>
  </si>
  <si>
    <t>953010004587125 (39832)</t>
  </si>
  <si>
    <t>Walery Hartis Bohemia</t>
  </si>
  <si>
    <t>Morris Hartis Bohemia</t>
  </si>
  <si>
    <t>CMKU/DS/122202/20</t>
  </si>
  <si>
    <t>Šimna</t>
  </si>
  <si>
    <t>731110641</t>
  </si>
  <si>
    <t>Barákova</t>
  </si>
  <si>
    <t>518/68</t>
  </si>
  <si>
    <t>simnamiroslav@seznam.cz</t>
  </si>
  <si>
    <t>Yankee</t>
  </si>
  <si>
    <t>Hebra Hartis Bohemia</t>
  </si>
  <si>
    <t>CKMU/DS/120097/19</t>
  </si>
  <si>
    <t>Martin</t>
  </si>
  <si>
    <t>Reška</t>
  </si>
  <si>
    <t>605219653</t>
  </si>
  <si>
    <t>Dobšice</t>
  </si>
  <si>
    <t>reskama@seznam.cz</t>
  </si>
  <si>
    <t>Luisa</t>
  </si>
  <si>
    <t>Ze Znojemských Čas</t>
  </si>
  <si>
    <t>Rieke Vitaxis</t>
  </si>
  <si>
    <t>CMKU/DS/121193/20</t>
  </si>
  <si>
    <t>Seraphine</t>
  </si>
  <si>
    <t>Blovská Göttfert</t>
  </si>
  <si>
    <t>776760036</t>
  </si>
  <si>
    <t xml:space="preserve">Křimická </t>
  </si>
  <si>
    <t>Vejprnice</t>
  </si>
  <si>
    <t>seraphinegottfert@gmail.com</t>
  </si>
  <si>
    <t xml:space="preserve">Baltazar </t>
  </si>
  <si>
    <t>Kascaro</t>
  </si>
  <si>
    <t xml:space="preserve">IGP1, FPr3, IFH-V, SPr1, BH-VT, ZVV1, ZOP </t>
  </si>
  <si>
    <t>5JY1/P 1.třída chovnosti</t>
  </si>
  <si>
    <t>Scarlett Kateko</t>
  </si>
  <si>
    <t>Kir z Trucu</t>
  </si>
  <si>
    <t>CMKU/DS/107562/17/20</t>
  </si>
  <si>
    <t>Oldřich</t>
  </si>
  <si>
    <t>Šnytr</t>
  </si>
  <si>
    <t>607554755</t>
  </si>
  <si>
    <t xml:space="preserve">Ul. 28. října </t>
  </si>
  <si>
    <t>romanasnytrova@seznam.cz</t>
  </si>
  <si>
    <t>Cir</t>
  </si>
  <si>
    <t>Bubenský dvůr</t>
  </si>
  <si>
    <t>ZVV1, FPr1</t>
  </si>
  <si>
    <t>Zara z Hašku-Držovice</t>
  </si>
  <si>
    <t>Xanto z Agíru Bohemia</t>
  </si>
  <si>
    <t>Ul. 28. října</t>
  </si>
  <si>
    <t>Akim</t>
  </si>
  <si>
    <t>Z Podradbuzí</t>
  </si>
  <si>
    <t>Nuria von Juventus</t>
  </si>
  <si>
    <t>Willy vom Haus Zieglmayer</t>
  </si>
  <si>
    <t>Kamil</t>
  </si>
  <si>
    <t>Žák</t>
  </si>
  <si>
    <t>+420721767008</t>
  </si>
  <si>
    <t>Nekmíř</t>
  </si>
  <si>
    <t>Dolní Bělá</t>
  </si>
  <si>
    <t>zakkamil@email.cz</t>
  </si>
  <si>
    <t>Arlett</t>
  </si>
  <si>
    <t>Iluze</t>
  </si>
  <si>
    <t xml:space="preserve">ZZO, ZVV1, BH, FPr3, ZVOP, IPO2 </t>
  </si>
  <si>
    <t>Varia od Hradu Drahotuch</t>
  </si>
  <si>
    <t>Natcho vom Kirschental</t>
  </si>
  <si>
    <t>CMKU/DS/86536/12/14</t>
  </si>
  <si>
    <t>Hemzska</t>
  </si>
  <si>
    <t>777947720</t>
  </si>
  <si>
    <t xml:space="preserve">Neredinska </t>
  </si>
  <si>
    <t>Olomouc</t>
  </si>
  <si>
    <t xml:space="preserve">Čr </t>
  </si>
  <si>
    <t>Astra2a@seznam.cz</t>
  </si>
  <si>
    <t>Derry</t>
  </si>
  <si>
    <t>Bri-Jack</t>
  </si>
  <si>
    <t>Vanessa Bri-Jack</t>
  </si>
  <si>
    <t>Orry Harris Bohemia</t>
  </si>
  <si>
    <t>Bartušková</t>
  </si>
  <si>
    <t>+420602294152</t>
  </si>
  <si>
    <t>Zborovská</t>
  </si>
  <si>
    <t>Kolín II</t>
  </si>
  <si>
    <t>bartuskova.i@seznam.cz</t>
  </si>
  <si>
    <t>Cipra</t>
  </si>
  <si>
    <t>King Regent</t>
  </si>
  <si>
    <t>Pepper vom Bierstadter Hof</t>
  </si>
  <si>
    <t>Quentin von Regina Pacis</t>
  </si>
  <si>
    <t>CMKU/DS/120686/20</t>
  </si>
  <si>
    <t>Enny</t>
  </si>
  <si>
    <t>Alexys vomk Damjan Hof</t>
  </si>
  <si>
    <t>CMKU/DS/124034/20</t>
  </si>
  <si>
    <t>Egon</t>
  </si>
  <si>
    <t>CMK/DS/124032/20</t>
  </si>
  <si>
    <t>Michal Marek</t>
  </si>
  <si>
    <t>Marek</t>
  </si>
  <si>
    <t>728177982</t>
  </si>
  <si>
    <t>Kostnická</t>
  </si>
  <si>
    <t>Husinec</t>
  </si>
  <si>
    <t>michal.marku@seznam.cz</t>
  </si>
  <si>
    <t>DECADO</t>
  </si>
  <si>
    <t>Sandau-Bohemia</t>
  </si>
  <si>
    <t>MATEA Sandau-Bohemia</t>
  </si>
  <si>
    <t>USLAN von Bad-Boll</t>
  </si>
  <si>
    <t>CMKU/DS/120909/20</t>
  </si>
  <si>
    <t>Šedinová</t>
  </si>
  <si>
    <t>+420603534293</t>
  </si>
  <si>
    <t>Skalková</t>
  </si>
  <si>
    <t>Chomutov</t>
  </si>
  <si>
    <t>mala.bobule@seznam.cz</t>
  </si>
  <si>
    <t xml:space="preserve">Jack Daniel's </t>
  </si>
  <si>
    <t xml:space="preserve">z Kadaňského podhradí </t>
  </si>
  <si>
    <t xml:space="preserve">Zira z Kadaňského podhradí </t>
  </si>
  <si>
    <t xml:space="preserve">Quaid Best of the Gods </t>
  </si>
  <si>
    <t xml:space="preserve">Šedinová Jana </t>
  </si>
  <si>
    <t>CMKU/DS/123766/20</t>
  </si>
  <si>
    <t>603534293</t>
  </si>
  <si>
    <t xml:space="preserve">Skalková </t>
  </si>
  <si>
    <t>Cherry Izzy</t>
  </si>
  <si>
    <t xml:space="preserve">Tereza z Kadaňského podhradí </t>
  </si>
  <si>
    <t xml:space="preserve">Farin Framato Rolau </t>
  </si>
  <si>
    <t>CMKU/DS/121603/20</t>
  </si>
  <si>
    <t>Smětalová</t>
  </si>
  <si>
    <t>606741459</t>
  </si>
  <si>
    <t xml:space="preserve">Budovcova </t>
  </si>
  <si>
    <t>Bystrovany</t>
  </si>
  <si>
    <t>779 00</t>
  </si>
  <si>
    <t>info@mirtan.cz</t>
  </si>
  <si>
    <t>Thor</t>
  </si>
  <si>
    <t>vom Funken Spiel</t>
  </si>
  <si>
    <t>BH, Igp1,SPr3</t>
  </si>
  <si>
    <t>Korung</t>
  </si>
  <si>
    <t>Izzy vom Funken Spiel</t>
  </si>
  <si>
    <t>Vito zum Gigelsfelsen</t>
  </si>
  <si>
    <t>CMKU/DS127902/21/21</t>
  </si>
  <si>
    <t>Burianová</t>
  </si>
  <si>
    <t>736 189 811</t>
  </si>
  <si>
    <t>Úžlabí</t>
  </si>
  <si>
    <t>Habartov</t>
  </si>
  <si>
    <t>Brixie</t>
  </si>
  <si>
    <t>Danlo Bohemia</t>
  </si>
  <si>
    <t>Sarah Daxis</t>
  </si>
  <si>
    <t>Jimmi Best of the Gods</t>
  </si>
  <si>
    <t>CMKU/DS/126022/21</t>
  </si>
  <si>
    <t>FD! Nemá zkoušku</t>
  </si>
  <si>
    <t xml:space="preserve">Dana </t>
  </si>
  <si>
    <t>+420 736649198</t>
  </si>
  <si>
    <t>Alexis</t>
  </si>
  <si>
    <t>Leopold von Zellwaldrand</t>
  </si>
  <si>
    <t>CMKU/DS/116157/19</t>
  </si>
  <si>
    <t>HD - A</t>
  </si>
  <si>
    <t>Gladiš</t>
  </si>
  <si>
    <t>Staříč</t>
  </si>
  <si>
    <t>pavelgladis@seznam.cz</t>
  </si>
  <si>
    <t>Uxa</t>
  </si>
  <si>
    <t>Geodis</t>
  </si>
  <si>
    <t>Florida Geodis</t>
  </si>
  <si>
    <t>CMKU/DS/120524/20</t>
  </si>
  <si>
    <t>Mladých</t>
  </si>
  <si>
    <t>Vista</t>
  </si>
  <si>
    <t>Katy Perry Mir-Jar</t>
  </si>
  <si>
    <t>CMKU/DS/122223/20</t>
  </si>
  <si>
    <t>Aura</t>
  </si>
  <si>
    <t>Lex vom Waldfurter-wald</t>
  </si>
  <si>
    <t>CMKU/DS/125426/21</t>
  </si>
  <si>
    <t>Katy Perry</t>
  </si>
  <si>
    <t>Hugh v. Eichenplatz</t>
  </si>
  <si>
    <t>CMKU/DS/109948/17/19</t>
  </si>
  <si>
    <t>Art</t>
  </si>
  <si>
    <t>CMKU/DS/125423/21</t>
  </si>
  <si>
    <t>Irena a Roman</t>
  </si>
  <si>
    <t>Kopeční</t>
  </si>
  <si>
    <t>U Šamotky</t>
  </si>
  <si>
    <t>Proseč nad Nisou</t>
  </si>
  <si>
    <t>CR</t>
  </si>
  <si>
    <t>irena.kopecna@seznam.cz</t>
  </si>
  <si>
    <t>vor Pallas Athene</t>
  </si>
  <si>
    <t>Holly vor Pallas Athene</t>
  </si>
  <si>
    <t>Henry Latmon</t>
  </si>
  <si>
    <t>CMKU/DS/2365519</t>
  </si>
  <si>
    <t>Viboy</t>
  </si>
  <si>
    <t>vom Eichenplatz</t>
  </si>
  <si>
    <t>Osana vor der Schmiede</t>
  </si>
  <si>
    <t>CMKU/DS/2360391</t>
  </si>
  <si>
    <t xml:space="preserve">Kateřina </t>
  </si>
  <si>
    <t>Počepická</t>
  </si>
  <si>
    <t>+420 603447746</t>
  </si>
  <si>
    <t xml:space="preserve">Jasanová </t>
  </si>
  <si>
    <t xml:space="preserve">Praha - Úhonice </t>
  </si>
  <si>
    <t>252 18</t>
  </si>
  <si>
    <t>Benny</t>
  </si>
  <si>
    <t>CMKU/DS/126020/21</t>
  </si>
  <si>
    <t>Lucie</t>
  </si>
  <si>
    <t>Konečná</t>
  </si>
  <si>
    <t>Petrov nad Desnou</t>
  </si>
  <si>
    <t>konylucka@seznam.cz</t>
  </si>
  <si>
    <t>Kasim</t>
  </si>
  <si>
    <t>Ro-Kop Bohemia</t>
  </si>
  <si>
    <t>NOD</t>
  </si>
  <si>
    <t>35114/941000024566826</t>
  </si>
  <si>
    <t>ZVV1, SPr1, SPr2</t>
  </si>
  <si>
    <t>5JZX1/P</t>
  </si>
  <si>
    <t>Aga v. d. Wannsee</t>
  </si>
  <si>
    <t>Klaus von Tronje</t>
  </si>
  <si>
    <t>CMKU/DS/107265/17/19</t>
  </si>
  <si>
    <t>Kuběnova</t>
  </si>
  <si>
    <t>Heroltice</t>
  </si>
  <si>
    <t>Štíty</t>
  </si>
  <si>
    <t>ivan.kubena@kuver.cz</t>
  </si>
  <si>
    <t>Hunter</t>
  </si>
  <si>
    <t>v. Pallas Athene</t>
  </si>
  <si>
    <t>pes / Male</t>
  </si>
  <si>
    <t>Xolly von Pallas Athene</t>
  </si>
  <si>
    <t>Nero v. Ghattas</t>
  </si>
  <si>
    <t>CMKU/DS/119870/19/20</t>
  </si>
  <si>
    <t>Jágrová</t>
  </si>
  <si>
    <t>yagrova.boza@seznam.cz</t>
  </si>
  <si>
    <t>Jasmína</t>
  </si>
  <si>
    <t>32743/945000002291041</t>
  </si>
  <si>
    <t>Guaid Best of the Gods</t>
  </si>
  <si>
    <t>CMKU/DS/23767</t>
  </si>
  <si>
    <t>Gill</t>
  </si>
  <si>
    <t>Na Tržišti</t>
  </si>
  <si>
    <t>Staňkov</t>
  </si>
  <si>
    <t>Bibi</t>
  </si>
  <si>
    <t>Xeni II. z Podradbuzí</t>
  </si>
  <si>
    <t>Hasap v. Liedehof</t>
  </si>
  <si>
    <t>CMKU/DS/125328/21</t>
  </si>
  <si>
    <t>Xeni II.</t>
  </si>
  <si>
    <t>22349/203164000045157</t>
  </si>
  <si>
    <t>Nurja von Juventus</t>
  </si>
  <si>
    <t>Tyson v. d. Burg Haidstein</t>
  </si>
  <si>
    <t>CMKU/DS/116109/19/20</t>
  </si>
  <si>
    <t>1/0</t>
  </si>
  <si>
    <t>Kašpar</t>
  </si>
  <si>
    <t>Mezi ploty</t>
  </si>
  <si>
    <t>Megi</t>
  </si>
  <si>
    <t>Plzeňský park</t>
  </si>
  <si>
    <t>Ejša Plzeňský park</t>
  </si>
  <si>
    <t>Cak Hartis Bohemia</t>
  </si>
  <si>
    <t>CMKU/DS/96492/14/17</t>
  </si>
  <si>
    <t>Jaromír</t>
  </si>
  <si>
    <t>Anderle</t>
  </si>
  <si>
    <t>Malý Beranov</t>
  </si>
  <si>
    <t>mir-jar@volny.cz</t>
  </si>
  <si>
    <t>Wilas</t>
  </si>
  <si>
    <t>Don di Casa Caputi</t>
  </si>
  <si>
    <t>CMKU/DS/124224/20</t>
  </si>
  <si>
    <t>Wito</t>
  </si>
  <si>
    <t>CMKU/DS/124226/20</t>
  </si>
  <si>
    <t>Wera</t>
  </si>
  <si>
    <t>CMKU/DS/124227/20</t>
  </si>
  <si>
    <t>Vito</t>
  </si>
  <si>
    <t>Gladiš Pavel</t>
  </si>
  <si>
    <t>CMKU/DS/122219/20</t>
  </si>
  <si>
    <t>Ondra</t>
  </si>
  <si>
    <t>Mars von Aurelius</t>
  </si>
  <si>
    <t>CMKU/DS/113662/18/20</t>
  </si>
  <si>
    <t>Nemo</t>
  </si>
  <si>
    <t>ZVV1, BH, IGP 1</t>
  </si>
  <si>
    <t>5JQX1/P, I. třída</t>
  </si>
  <si>
    <t>Kik Crveni Mayestoso</t>
  </si>
  <si>
    <t>CMKU/DS/112586/18/20</t>
  </si>
  <si>
    <t>Miloslav</t>
  </si>
  <si>
    <t>Černovský</t>
  </si>
  <si>
    <t>Prodašice</t>
  </si>
  <si>
    <t>miloslav.cernovsky@seznam.cz</t>
  </si>
  <si>
    <t>Cocolinea</t>
  </si>
  <si>
    <t>Cetrio</t>
  </si>
  <si>
    <t>Illi Hartis Bohemia</t>
  </si>
  <si>
    <t>Atrei Rottenburg Bohemia</t>
  </si>
  <si>
    <t>CMKU/DS/121428/20</t>
  </si>
  <si>
    <t>Hoollie</t>
  </si>
  <si>
    <t>Jinny Starý Samotár</t>
  </si>
  <si>
    <t>Mentos Cetrio</t>
  </si>
  <si>
    <t>CMKU/DS/123038/20</t>
  </si>
  <si>
    <t>Christina</t>
  </si>
  <si>
    <t>CMKU/DS/124494/20</t>
  </si>
  <si>
    <t>Lakyša</t>
  </si>
  <si>
    <t>Iran z Prodašic</t>
  </si>
  <si>
    <t>CMKU/DS/125175/20</t>
  </si>
  <si>
    <t>Lionn</t>
  </si>
  <si>
    <t>CMKU/DS/125174/20</t>
  </si>
  <si>
    <t>Uran</t>
  </si>
  <si>
    <t>12908/967000010238608</t>
  </si>
  <si>
    <t>Snoogy z Kuřimského háje</t>
  </si>
  <si>
    <t>Žarko z Jirkova dvora</t>
  </si>
  <si>
    <t>CMKU/DS/104434/16</t>
  </si>
  <si>
    <t>M.</t>
  </si>
  <si>
    <t>Plšková</t>
  </si>
  <si>
    <t>Za střelnicí</t>
  </si>
  <si>
    <t>690/20</t>
  </si>
  <si>
    <t>Praha 8</t>
  </si>
  <si>
    <t>plskovasg@seznam.cz</t>
  </si>
  <si>
    <t>Mia</t>
  </si>
  <si>
    <t>Antonika</t>
  </si>
  <si>
    <t>88115/981020000769899</t>
  </si>
  <si>
    <t>Ester Antonika</t>
  </si>
  <si>
    <t>Yoschi Hronovský pramen</t>
  </si>
  <si>
    <t>CMKU/DS/120577/2</t>
  </si>
  <si>
    <t>Nikol</t>
  </si>
  <si>
    <t>88154/98102000075280</t>
  </si>
  <si>
    <t>Orkan vom Grundauer Hain</t>
  </si>
  <si>
    <t>CMKU/DS/125972/21</t>
  </si>
  <si>
    <t>Jaroslava</t>
  </si>
  <si>
    <t>Jerychová</t>
  </si>
  <si>
    <t>Dalimilova</t>
  </si>
  <si>
    <t>Litoměřice</t>
  </si>
  <si>
    <t>jerychova@raz-dva.cz</t>
  </si>
  <si>
    <t>Bria</t>
  </si>
  <si>
    <t>Vantaris</t>
  </si>
  <si>
    <t>Odry Vantaris</t>
  </si>
  <si>
    <t>Gondor v. Patersweg</t>
  </si>
  <si>
    <t>CMKU/DS/118604/19</t>
  </si>
  <si>
    <t>Helena</t>
  </si>
  <si>
    <t>Melounová</t>
  </si>
  <si>
    <t>Nad Hliništěm</t>
  </si>
  <si>
    <t>Chotěboř</t>
  </si>
  <si>
    <t>fakturace@emvet.cz</t>
  </si>
  <si>
    <t>Arre</t>
  </si>
  <si>
    <t>39835/953010004589236</t>
  </si>
  <si>
    <t>Varrior von Media</t>
  </si>
  <si>
    <t>CMKU/DS/123807/20</t>
  </si>
  <si>
    <t>Quara</t>
  </si>
  <si>
    <t>Finn von der Piste Trophe</t>
  </si>
  <si>
    <t>CMKU/DS/106724/17/19</t>
  </si>
  <si>
    <t>Xaira</t>
  </si>
  <si>
    <t>39807/953010004503446</t>
  </si>
  <si>
    <t>CMKU/DS/119205/19</t>
  </si>
  <si>
    <t>Xantto</t>
  </si>
  <si>
    <t>ZVV1, SPr3</t>
  </si>
  <si>
    <t>Jannie Hartis Bohemia</t>
  </si>
  <si>
    <t>Enosch v. Amasis</t>
  </si>
  <si>
    <t>CMKU/DS/88226/12/14</t>
  </si>
  <si>
    <t>Klára</t>
  </si>
  <si>
    <t>Honzárková</t>
  </si>
  <si>
    <t>Břevnická</t>
  </si>
  <si>
    <t>Havlíčkův Brod</t>
  </si>
  <si>
    <t>klara.honzarkova@gmail.com</t>
  </si>
  <si>
    <t>Wanda</t>
  </si>
  <si>
    <t>Izzy z Folinku</t>
  </si>
  <si>
    <t>Quenn von der Piste Trophe</t>
  </si>
  <si>
    <t>CMKU/DS/113200/18</t>
  </si>
  <si>
    <t>Kouřilová</t>
  </si>
  <si>
    <t>Lee Jerry</t>
  </si>
  <si>
    <t>Red Hurricane</t>
  </si>
  <si>
    <t>Enny Red Hurricane</t>
  </si>
  <si>
    <t>Kros Best of the Gods</t>
  </si>
  <si>
    <t>CMKU/DS/123318/20</t>
  </si>
  <si>
    <t>Jiří a David</t>
  </si>
  <si>
    <t>Svatoň</t>
  </si>
  <si>
    <t>Podlouckého</t>
  </si>
  <si>
    <t>Nové Město na Moravě</t>
  </si>
  <si>
    <t>jirka.svaton@gmai.com</t>
  </si>
  <si>
    <t>Griff</t>
  </si>
  <si>
    <t>Rumina Moravia</t>
  </si>
  <si>
    <t>49966/953010004589206</t>
  </si>
  <si>
    <t>Daisy Rumina Moravia</t>
  </si>
  <si>
    <t>Whillo v. Klosteermoor</t>
  </si>
  <si>
    <t>CMKU/DS/120007/19</t>
  </si>
  <si>
    <t>Greis</t>
  </si>
  <si>
    <t>CMKU/DS/120009/19</t>
  </si>
  <si>
    <t>Daisy</t>
  </si>
  <si>
    <t>1, třída</t>
  </si>
  <si>
    <t>Fred v. Rumbachtal</t>
  </si>
  <si>
    <t>CMKU/DS/102260/16/18</t>
  </si>
  <si>
    <t>Vladimíra</t>
  </si>
  <si>
    <t>Vinšová</t>
  </si>
  <si>
    <t>Obecní</t>
  </si>
  <si>
    <t>Mukařov</t>
  </si>
  <si>
    <t>vinsova.de@gmail.com</t>
  </si>
  <si>
    <t>Falco</t>
  </si>
  <si>
    <t>Bestia Rapax</t>
  </si>
  <si>
    <t>3470/953010004589086</t>
  </si>
  <si>
    <t>BH, ZVV1, SPr3</t>
  </si>
  <si>
    <t>Xirra Hartis Bohemia</t>
  </si>
  <si>
    <t>Vinšová Vladimíra</t>
  </si>
  <si>
    <t>CMKU/DS/105491/16</t>
  </si>
  <si>
    <t xml:space="preserve">Eva </t>
  </si>
  <si>
    <t>Sýkorová</t>
  </si>
  <si>
    <t>+420 736 241 030</t>
  </si>
  <si>
    <t xml:space="preserve">Zvoleněves </t>
  </si>
  <si>
    <t>buranoslobos@centrum.cz</t>
  </si>
  <si>
    <t>Passa von Buranos Lobos</t>
  </si>
  <si>
    <t xml:space="preserve">Buranos Lobos </t>
  </si>
  <si>
    <t>Artemis von Buranos Lobos</t>
  </si>
  <si>
    <t>Delghádo Ethen</t>
  </si>
  <si>
    <t>CMKU/DS/125967/21</t>
  </si>
  <si>
    <t xml:space="preserve">Sýkorová </t>
  </si>
  <si>
    <t xml:space="preserve">Prada von Buranos Lobos </t>
  </si>
  <si>
    <t>Buranos Lobos</t>
  </si>
  <si>
    <t>CMKU/DS/125970/21</t>
  </si>
  <si>
    <t>Kateřina</t>
  </si>
  <si>
    <t>Kloučková</t>
  </si>
  <si>
    <t>+420 731 202 410</t>
  </si>
  <si>
    <t>Mrač</t>
  </si>
  <si>
    <t>Poříčí nad Sázavou</t>
  </si>
  <si>
    <t>orsina01@seznam.cz</t>
  </si>
  <si>
    <t>LEONTÝNKA</t>
  </si>
  <si>
    <t>PŮLNOČNÍ MĚSÍC</t>
  </si>
  <si>
    <t>Dlouhosrstá</t>
  </si>
  <si>
    <t>BH-VT , ZVV1, SPr1, SPr 2</t>
  </si>
  <si>
    <t>5JQXZ1/P</t>
  </si>
  <si>
    <t>Sweet and Chilli Provocativo</t>
  </si>
  <si>
    <t>Watson aus der Birkenschäferei</t>
  </si>
  <si>
    <t>CMKU/DS/111044/18/20</t>
  </si>
  <si>
    <t xml:space="preserve">Martina </t>
  </si>
  <si>
    <t>+420605915077</t>
  </si>
  <si>
    <t xml:space="preserve">Kamenný Újezd </t>
  </si>
  <si>
    <t>Rokycany</t>
  </si>
  <si>
    <t>Finlandia</t>
  </si>
  <si>
    <t>Od tajemných břehů</t>
  </si>
  <si>
    <t>Čip - 203098100443595, tetování -23266</t>
  </si>
  <si>
    <t>BH, ZVV1</t>
  </si>
  <si>
    <t>Brandy Od Tajemných břehů</t>
  </si>
  <si>
    <t>CMKU/DS/116283/19</t>
  </si>
  <si>
    <t>Svatoš</t>
  </si>
  <si>
    <t>Franze Liszta</t>
  </si>
  <si>
    <t>apoll@seznam.cz</t>
  </si>
  <si>
    <t>Diara</t>
  </si>
  <si>
    <t>Atoza</t>
  </si>
  <si>
    <t>71290/945000006104571</t>
  </si>
  <si>
    <t>Afra Atoza</t>
  </si>
  <si>
    <t>CMKU/DS/116262/19</t>
  </si>
  <si>
    <t>Kopecká</t>
  </si>
  <si>
    <t>Samota</t>
  </si>
  <si>
    <t>Libušín</t>
  </si>
  <si>
    <t>schreidon@gmail.com</t>
  </si>
  <si>
    <t>Ester</t>
  </si>
  <si>
    <t>vom Bierstadter Hof</t>
  </si>
  <si>
    <t>ZVV1, AD, BH</t>
  </si>
  <si>
    <t>Giullia Schreidon</t>
  </si>
  <si>
    <t>Quentin v. Regina Pacis</t>
  </si>
  <si>
    <t>Ruediger Mai</t>
  </si>
  <si>
    <t>CMKU/DS/26698/21</t>
  </si>
  <si>
    <t>Hippa</t>
  </si>
  <si>
    <t>Pascha Schreidon</t>
  </si>
  <si>
    <t>Boston vom Bierstadter Hof</t>
  </si>
  <si>
    <t>CMKU/DS/125485/21</t>
  </si>
  <si>
    <t>Maier Havelkova</t>
  </si>
  <si>
    <t>Bahnhofstr.</t>
  </si>
  <si>
    <t>Lauterbach</t>
  </si>
  <si>
    <t>Německo</t>
  </si>
  <si>
    <t>veracruz@neudegg.de</t>
  </si>
  <si>
    <t>Quentin</t>
  </si>
  <si>
    <t>von Regina Pacis</t>
  </si>
  <si>
    <t>Körung SV</t>
  </si>
  <si>
    <t>Oxa v. Gerianian Hoff</t>
  </si>
  <si>
    <t>SZ 2334314</t>
  </si>
  <si>
    <t>fast normal</t>
  </si>
  <si>
    <t>Hawky</t>
  </si>
  <si>
    <t>BH, IGP 1</t>
  </si>
  <si>
    <t>Wulkana vom Bierstadter Hof</t>
  </si>
  <si>
    <t>SZ 2359832</t>
  </si>
  <si>
    <t>Kerul</t>
  </si>
  <si>
    <t>Výškovská</t>
  </si>
  <si>
    <t>Chodová Planá</t>
  </si>
  <si>
    <t>libaker@mujbox.cz</t>
  </si>
  <si>
    <t>Labo</t>
  </si>
  <si>
    <t>z Podradbuzí</t>
  </si>
  <si>
    <t>IPO 2</t>
  </si>
  <si>
    <t>5JX2/P</t>
  </si>
  <si>
    <t>Fely z Podradbuzí</t>
  </si>
  <si>
    <t>Agassy v.d. Piste Trophe</t>
  </si>
  <si>
    <t>Dagmar</t>
  </si>
  <si>
    <t>Klímová</t>
  </si>
  <si>
    <t>+420 777 901 895</t>
  </si>
  <si>
    <t>Vršovická</t>
  </si>
  <si>
    <t>Praha 10</t>
  </si>
  <si>
    <t>100 00</t>
  </si>
  <si>
    <t>Dag.Burdych@seznam.cz</t>
  </si>
  <si>
    <t>Brutus</t>
  </si>
  <si>
    <t>Bohemia Marcol</t>
  </si>
  <si>
    <t>Carmen Rapid Black</t>
  </si>
  <si>
    <t>Qvido Vepeden</t>
  </si>
  <si>
    <t>CMKU/DS/122805/20</t>
  </si>
  <si>
    <t>Jolana</t>
  </si>
  <si>
    <t>Králová</t>
  </si>
  <si>
    <t>Polanka nad Odrou</t>
  </si>
  <si>
    <t>Jolana2003@seznam.cz</t>
  </si>
  <si>
    <t>Crash</t>
  </si>
  <si>
    <t>Carmen Mir-Jar</t>
  </si>
  <si>
    <t>Zoee Gard Bohemia</t>
  </si>
  <si>
    <t>CMKU/DS/121483/20</t>
  </si>
  <si>
    <t>Pomezí</t>
  </si>
  <si>
    <t>vendovsky.p@seznam.cz</t>
  </si>
  <si>
    <t>Uri</t>
  </si>
  <si>
    <t>49920/953010004506842</t>
  </si>
  <si>
    <t>5JX1/N</t>
  </si>
  <si>
    <t>Hugo vom Radhaus</t>
  </si>
  <si>
    <t>CMKU/DS/111842/18</t>
  </si>
  <si>
    <t>Ronda</t>
  </si>
  <si>
    <t>89585/953010004506171</t>
  </si>
  <si>
    <t>CMKU/DS/106838/17</t>
  </si>
  <si>
    <t>Janota</t>
  </si>
  <si>
    <t>Mácova</t>
  </si>
  <si>
    <t>Brno-Ivanovice</t>
  </si>
  <si>
    <t>ludek.janota@seznam.cz</t>
  </si>
  <si>
    <t>Chipsi</t>
  </si>
  <si>
    <t>Vitaxis</t>
  </si>
  <si>
    <t>58332/203096700000808</t>
  </si>
  <si>
    <t>ZVV1, BH, FPr 1, FH1</t>
  </si>
  <si>
    <t>Lussy Vitaxis</t>
  </si>
  <si>
    <t>CMKU/DS/88959/13/15</t>
  </si>
  <si>
    <t>Ctibor</t>
  </si>
  <si>
    <t>Ryneš</t>
  </si>
  <si>
    <t>+420 724 154 859</t>
  </si>
  <si>
    <t>crynes@seznam.cz</t>
  </si>
  <si>
    <t>Morris</t>
  </si>
  <si>
    <t>941000021256343          tetování  43293</t>
  </si>
  <si>
    <t>ZVV1   IGP2  SPR2</t>
  </si>
  <si>
    <t>Urra Hartis Bohemia</t>
  </si>
  <si>
    <t>Baru´ di Terra Scura</t>
  </si>
  <si>
    <t>CMKU/DS/103002/16/19</t>
  </si>
  <si>
    <t xml:space="preserve">Karel </t>
  </si>
  <si>
    <t>Kuchařík</t>
  </si>
  <si>
    <t>+420 607 809 526</t>
  </si>
  <si>
    <t>Hevlín</t>
  </si>
  <si>
    <t>671 69</t>
  </si>
  <si>
    <t>karel.kucharik@seznam.cz</t>
  </si>
  <si>
    <t xml:space="preserve">Orri </t>
  </si>
  <si>
    <t>Znerop</t>
  </si>
  <si>
    <t>Fauna Znerop</t>
  </si>
  <si>
    <t>Henko vom Holtkämper Hof</t>
  </si>
  <si>
    <t>CMKU/DS/120729/20</t>
  </si>
  <si>
    <t>Budovcova</t>
  </si>
  <si>
    <t>207/15</t>
  </si>
  <si>
    <t>Bellatrix</t>
  </si>
  <si>
    <t>Mirtan Bohemia</t>
  </si>
  <si>
    <t>Xofie Mirtan Bohemia</t>
  </si>
  <si>
    <t>Leopold vom Zellwaldrand</t>
  </si>
  <si>
    <t>CMKU/DS/125005/20</t>
  </si>
  <si>
    <t xml:space="preserve">Pelantová </t>
  </si>
  <si>
    <t xml:space="preserve">Trnová </t>
  </si>
  <si>
    <t>Nikol.brejchova@email.cz</t>
  </si>
  <si>
    <t>Angie</t>
  </si>
  <si>
    <t>Garnie Best of the Gods</t>
  </si>
  <si>
    <t>CMKU/DS/118693/19</t>
  </si>
  <si>
    <t>Benešová</t>
  </si>
  <si>
    <t>+420773060456</t>
  </si>
  <si>
    <t>Ruská</t>
  </si>
  <si>
    <t>graziosa@seznam.cz</t>
  </si>
  <si>
    <t>Bollo</t>
  </si>
  <si>
    <t>Yvesko Bohemia</t>
  </si>
  <si>
    <t>IGP 1, BH-VT</t>
  </si>
  <si>
    <t>Issa z Lipé Moravia</t>
  </si>
  <si>
    <t>Škopová Yvona</t>
  </si>
  <si>
    <t>CMKU/DS/116830/19</t>
  </si>
  <si>
    <t xml:space="preserve">Pavel </t>
  </si>
  <si>
    <t xml:space="preserve">Skrbek </t>
  </si>
  <si>
    <t xml:space="preserve">Na říháku </t>
  </si>
  <si>
    <t xml:space="preserve">Praha radotin </t>
  </si>
  <si>
    <t xml:space="preserve">Č R </t>
  </si>
  <si>
    <t xml:space="preserve">153 00 </t>
  </si>
  <si>
    <t xml:space="preserve">Fabare@seznam.cz </t>
  </si>
  <si>
    <t>Cecilka</t>
  </si>
  <si>
    <t xml:space="preserve">Fabare Bohemia </t>
  </si>
  <si>
    <t xml:space="preserve">Nirwanna Fabare Bohemia </t>
  </si>
  <si>
    <t xml:space="preserve">Luqo v.d. Bruckneralle </t>
  </si>
  <si>
    <t>125946/21</t>
  </si>
  <si>
    <t>Konvalinková</t>
  </si>
  <si>
    <t>+420723221716</t>
  </si>
  <si>
    <t>Bohy</t>
  </si>
  <si>
    <t>Kralovice</t>
  </si>
  <si>
    <t>Czech Republic</t>
  </si>
  <si>
    <t>ver.kon12@gmail.com</t>
  </si>
  <si>
    <t>Grant´s</t>
  </si>
  <si>
    <t>Best  of the Gods</t>
  </si>
  <si>
    <t>CMKU/DS/126096/21</t>
  </si>
  <si>
    <t>Gyra</t>
  </si>
  <si>
    <t>CMKU/DS/126097/21</t>
  </si>
  <si>
    <t>MARTINA</t>
  </si>
  <si>
    <t>TRNKOVÁ</t>
  </si>
  <si>
    <t xml:space="preserve">Svobodná ves </t>
  </si>
  <si>
    <t>Čáslav</t>
  </si>
  <si>
    <t>martinatrnkov@gmail.com</t>
  </si>
  <si>
    <t xml:space="preserve">YZERAH </t>
  </si>
  <si>
    <t>MANEPO IDEÁL</t>
  </si>
  <si>
    <t>IGP 3, BH</t>
  </si>
  <si>
    <t>5V1/P - 1 TŘÍDA</t>
  </si>
  <si>
    <t>EASSY Z ÚDOLÍ ÚPY</t>
  </si>
  <si>
    <t>JOSEPH ANREBRI</t>
  </si>
  <si>
    <t>CMKU DS/102586/16/18</t>
  </si>
  <si>
    <t>Federica</t>
  </si>
  <si>
    <t>Q´Goldie Best of the Gods</t>
  </si>
  <si>
    <t>CMKU/DS/123915/20</t>
  </si>
  <si>
    <t>Ennie</t>
  </si>
  <si>
    <t>Orry Clark</t>
  </si>
  <si>
    <t>CMKU/DS/123042/20</t>
  </si>
  <si>
    <t>Svobodná ves</t>
  </si>
  <si>
    <t>KAREAH</t>
  </si>
  <si>
    <t>ANREBRI</t>
  </si>
  <si>
    <t>JENNY ANREBRI</t>
  </si>
  <si>
    <t>CHRIS SPOD LAZOV</t>
  </si>
  <si>
    <t>CMKU/DS 96207/14/17</t>
  </si>
  <si>
    <t>Q´Goldie</t>
  </si>
  <si>
    <t>ZVV1,BH-VT</t>
  </si>
  <si>
    <t>Goldie od Řeky Lučiny</t>
  </si>
  <si>
    <t>Uranus vom Wildsteiger Land</t>
  </si>
  <si>
    <t>CMKU/DS/111314/18/20</t>
  </si>
  <si>
    <t>noch zugelassen</t>
  </si>
  <si>
    <t>MORPHEUS</t>
  </si>
  <si>
    <t>IPO 3, FH 2, BH, ZVV 1, SPR 1, FPR 1, ZM, IPO-V</t>
  </si>
  <si>
    <t>5JQV1/P - 1 TŘÍDA</t>
  </si>
  <si>
    <t>AIRIN QUEEN ANREBRI</t>
  </si>
  <si>
    <t>CHARI Z ESAGÍLU</t>
  </si>
  <si>
    <t>CMKU DS/82967/11/14</t>
  </si>
  <si>
    <t>Dafnie</t>
  </si>
  <si>
    <t>IGP2, ZVV1, BH, FPR2, SPR3</t>
  </si>
  <si>
    <t>Fulz Zenevredo</t>
  </si>
  <si>
    <t>CMKU/DS/91300/13/16</t>
  </si>
  <si>
    <t>Ikon</t>
  </si>
  <si>
    <t>vom Haus Kaiser</t>
  </si>
  <si>
    <t>Bijou von Avenir</t>
  </si>
  <si>
    <t>Ian vom Kleinen Zauberberg</t>
  </si>
  <si>
    <t>DN62109602</t>
  </si>
  <si>
    <t>Ingrid</t>
  </si>
  <si>
    <t>DN62109607</t>
  </si>
  <si>
    <t>Izak</t>
  </si>
  <si>
    <t>DN62109601</t>
  </si>
  <si>
    <t>Iris</t>
  </si>
  <si>
    <t>ZVV1,BH, ZZO, FPR1, SPR3</t>
  </si>
  <si>
    <t>7JX1/P</t>
  </si>
  <si>
    <t>Carrie Best of the Gods</t>
  </si>
  <si>
    <t>CMKU/DS/102147/16/17</t>
  </si>
  <si>
    <t>Kratochvílová</t>
  </si>
  <si>
    <t xml:space="preserve">Na Kopečku </t>
  </si>
  <si>
    <t>Luka nad Jihlavou</t>
  </si>
  <si>
    <t>588 22</t>
  </si>
  <si>
    <t>lnj64@centrum.cz</t>
  </si>
  <si>
    <t xml:space="preserve">Xenie </t>
  </si>
  <si>
    <t>Ivaa Mir-Jar</t>
  </si>
  <si>
    <t>CMKU/DS/124842/20</t>
  </si>
  <si>
    <t>Hanousek</t>
  </si>
  <si>
    <t>1171/6</t>
  </si>
  <si>
    <t>Rumburk</t>
  </si>
  <si>
    <t>kyjovske.udoli@email.cz</t>
  </si>
  <si>
    <t>Charlotte</t>
  </si>
  <si>
    <t>z Kyjovského údolí</t>
  </si>
  <si>
    <t>Natty z Kyjovského údolí</t>
  </si>
  <si>
    <t>Yoris vom Osterberger-land</t>
  </si>
  <si>
    <t>CMKU/DS/123997/20</t>
  </si>
  <si>
    <t>Zevl</t>
  </si>
  <si>
    <t>Nádražní</t>
  </si>
  <si>
    <t>zevl.jiri@seznam.cz</t>
  </si>
  <si>
    <t>Vantom</t>
  </si>
  <si>
    <t>v. Holtkämper Hof</t>
  </si>
  <si>
    <t>Ocean v. Steinburgerhof</t>
  </si>
  <si>
    <t>Sastor v. Huhnegrab</t>
  </si>
  <si>
    <t>CMKU/DS/124553/20</t>
  </si>
  <si>
    <t>Hubená</t>
  </si>
  <si>
    <t>Sokolovská</t>
  </si>
  <si>
    <t>Pardubice</t>
  </si>
  <si>
    <t>petronelakra@seznam.cz</t>
  </si>
  <si>
    <t>Tarra</t>
  </si>
  <si>
    <t>fena / Female</t>
  </si>
  <si>
    <t>5JXQ1/P</t>
  </si>
  <si>
    <t>Goldy Zdekra</t>
  </si>
  <si>
    <t>Cronos del Seprio</t>
  </si>
  <si>
    <t>CMKU/DS/107383/17</t>
  </si>
  <si>
    <t>Tereza a Eliška</t>
  </si>
  <si>
    <t>Knížková</t>
  </si>
  <si>
    <t>Na Hrázi</t>
  </si>
  <si>
    <t>Sušice</t>
  </si>
  <si>
    <t>Čr</t>
  </si>
  <si>
    <t>eliskate7@seznam.cz</t>
  </si>
  <si>
    <t>Corny</t>
  </si>
  <si>
    <t>Konvalinková Veronika</t>
  </si>
  <si>
    <t>Knížková Tereza a Eliška</t>
  </si>
  <si>
    <t>CMKU/DS/119358/19</t>
  </si>
  <si>
    <t>Grznárová</t>
  </si>
  <si>
    <t>Úterý</t>
  </si>
  <si>
    <t>Enco</t>
  </si>
  <si>
    <t>Framato Rolau</t>
  </si>
  <si>
    <t>24859/941000018726253</t>
  </si>
  <si>
    <t>Afra v. Nieuwlandshof</t>
  </si>
  <si>
    <t>Farin de Carrique</t>
  </si>
  <si>
    <t>Matouš F.</t>
  </si>
  <si>
    <t>Grznárová Hana</t>
  </si>
  <si>
    <t>CMKU/DS/87776/12/16</t>
  </si>
  <si>
    <t>Edith</t>
  </si>
  <si>
    <t>24863/941000018726241</t>
  </si>
  <si>
    <t>CMKU/DS/87780/12/16</t>
  </si>
  <si>
    <t>Prauzek</t>
  </si>
  <si>
    <t>Vlčovice</t>
  </si>
  <si>
    <t>Kopřivnice</t>
  </si>
  <si>
    <t>Enya</t>
  </si>
  <si>
    <t>Perazma</t>
  </si>
  <si>
    <t>67395/900219000029542</t>
  </si>
  <si>
    <t>Xenaya Perazma</t>
  </si>
  <si>
    <t>Prauzek Martin</t>
  </si>
  <si>
    <t>CMKU/DS/124157/20</t>
  </si>
  <si>
    <t>Cllarisa</t>
  </si>
  <si>
    <t>67388/900219000027915</t>
  </si>
  <si>
    <t>Raissa Perazma</t>
  </si>
  <si>
    <t>Atrtuš Scania Hof</t>
  </si>
  <si>
    <t>CMKU/DS/123592/20</t>
  </si>
  <si>
    <t>Anežka</t>
  </si>
  <si>
    <t>Štruplová</t>
  </si>
  <si>
    <t>Révová</t>
  </si>
  <si>
    <t>Mělník</t>
  </si>
  <si>
    <t>st.agnes@email.cz</t>
  </si>
  <si>
    <t>Stefanie</t>
  </si>
  <si>
    <t>71212/941000022175328</t>
  </si>
  <si>
    <t>ZZO, ZZO 1, ZVV 1, BH-VT, IBGH 1, SPr 1, FPr 1</t>
  </si>
  <si>
    <t>Štruplová Anežka</t>
  </si>
  <si>
    <t>CMKU/DS/111324/18</t>
  </si>
  <si>
    <t>Zahradníková</t>
  </si>
  <si>
    <t>Havanská</t>
  </si>
  <si>
    <t>Tábor</t>
  </si>
  <si>
    <t>provocativono@seznam.cz</t>
  </si>
  <si>
    <t>Jeremy</t>
  </si>
  <si>
    <t>Provocativo</t>
  </si>
  <si>
    <t>14526/941000022178620</t>
  </si>
  <si>
    <t>5JX1/P, 1. třída dož.</t>
  </si>
  <si>
    <t>Raya Provocativo</t>
  </si>
  <si>
    <t>Yras Veracruz</t>
  </si>
  <si>
    <t>Zahradníková Barbora</t>
  </si>
  <si>
    <t>CMKU/DS/109923/17</t>
  </si>
  <si>
    <t>Homer</t>
  </si>
  <si>
    <t>14015/941000024834116</t>
  </si>
  <si>
    <t>Cameron Provocativo</t>
  </si>
  <si>
    <t>Baru Veracruz</t>
  </si>
  <si>
    <t>CMKU/DS/125231/20</t>
  </si>
  <si>
    <t>Bambi</t>
  </si>
  <si>
    <t>14964/941000024812734</t>
  </si>
  <si>
    <t>Wicky v. Bierstadter Hof</t>
  </si>
  <si>
    <t>Yankee Provocativo</t>
  </si>
  <si>
    <t>CMKU/DS/123977/20</t>
  </si>
  <si>
    <t>Xtra</t>
  </si>
  <si>
    <t>v. Türkenkopf</t>
  </si>
  <si>
    <t>Roja v. Türkenkopf</t>
  </si>
  <si>
    <t>SZ 2363071</t>
  </si>
  <si>
    <t>Cherry</t>
  </si>
  <si>
    <t>14026/941000024833962</t>
  </si>
  <si>
    <t>Yorika Provocativo</t>
  </si>
  <si>
    <t>CMKU/DS/126084/21</t>
  </si>
  <si>
    <t>SZ 2370462</t>
  </si>
  <si>
    <t>Hispana</t>
  </si>
  <si>
    <t>14018/941000024834059</t>
  </si>
  <si>
    <t>CMKU/DS/125234/20</t>
  </si>
  <si>
    <t>Sedlák</t>
  </si>
  <si>
    <t>Ločenice</t>
  </si>
  <si>
    <t>Emilio</t>
  </si>
  <si>
    <t>14421/941000019818109</t>
  </si>
  <si>
    <t>IGP 3, ZVV 1, FPr 3, BH, SPr 1</t>
  </si>
  <si>
    <t>5JXZ1/P, 1. tř., dož.</t>
  </si>
  <si>
    <t>Jessy v. Regina Pacis</t>
  </si>
  <si>
    <t>Yimmy Provocativo</t>
  </si>
  <si>
    <t>Sedlák Jan</t>
  </si>
  <si>
    <t>CMKU/DS/106237/17</t>
  </si>
  <si>
    <t>Yorika</t>
  </si>
  <si>
    <t>14298/203098100384597</t>
  </si>
  <si>
    <t>ZVV1, BH, SPr 2, FPr 1</t>
  </si>
  <si>
    <t>5JX1/P, 1. tř., dož.</t>
  </si>
  <si>
    <t>Bellissima Provocativo</t>
  </si>
  <si>
    <t>Tony v. d. Wilhelmswarte</t>
  </si>
  <si>
    <t>CMKU/DS/101142/18/17</t>
  </si>
  <si>
    <t>Novotný</t>
  </si>
  <si>
    <t>Vinohradská</t>
  </si>
  <si>
    <t>jinopo@jinopo.cz</t>
  </si>
  <si>
    <t>Bazi</t>
  </si>
  <si>
    <t>von Grosspriesen</t>
  </si>
  <si>
    <t>31731/941000023627527</t>
  </si>
  <si>
    <t>ZVV1, BH-VT, IGP 1</t>
  </si>
  <si>
    <t>5VQ1/P</t>
  </si>
  <si>
    <t>Aireen Villi Virta</t>
  </si>
  <si>
    <t>Hero z Klídkova dvora</t>
  </si>
  <si>
    <t>Bártová Irena</t>
  </si>
  <si>
    <t>Novotný Jiří, Ing.</t>
  </si>
  <si>
    <t>CMKU/DS/112088/18/20</t>
  </si>
  <si>
    <t>Xartto</t>
  </si>
  <si>
    <t>z Jirkova dvora</t>
  </si>
  <si>
    <t>07028/900111881379472</t>
  </si>
  <si>
    <t>5JQV1/P</t>
  </si>
  <si>
    <t>Sura z Jirkova dvora</t>
  </si>
  <si>
    <t>Žako-May z Jirkova dvora</t>
  </si>
  <si>
    <t>CMKU/DS/109748/17/19</t>
  </si>
  <si>
    <t>Jefy</t>
  </si>
  <si>
    <t>07163/900111881380198</t>
  </si>
  <si>
    <t>BH-VT, IGP-V, ZVV3, IGP 3, IFH-V, ZPS1, T1</t>
  </si>
  <si>
    <t>Umma z Jirkova dvora</t>
  </si>
  <si>
    <t>Gao z Jirkova dvora</t>
  </si>
  <si>
    <t>CMKU/DS/112395/18/20</t>
  </si>
  <si>
    <t>Kubikova</t>
  </si>
  <si>
    <t>+420728745215</t>
  </si>
  <si>
    <t>Skokanska</t>
  </si>
  <si>
    <t>Liberec 8</t>
  </si>
  <si>
    <t>pair09@seznam.cz</t>
  </si>
  <si>
    <t xml:space="preserve">Renesmee </t>
  </si>
  <si>
    <t>RO-KOP Bohemia</t>
  </si>
  <si>
    <t>Kabi RO-KOP Bohemia</t>
  </si>
  <si>
    <t>CMKU/DS/119525/19</t>
  </si>
  <si>
    <t>A-normal</t>
  </si>
  <si>
    <t>Kozáková</t>
  </si>
  <si>
    <t>736 465 546</t>
  </si>
  <si>
    <t>Skalice u České Lípy</t>
  </si>
  <si>
    <t>katerina.kozak20@seznam.cz</t>
  </si>
  <si>
    <t>Y-Torvi</t>
  </si>
  <si>
    <t>KARLO von team Arlett</t>
  </si>
  <si>
    <t>CKMU/DS/124447/20</t>
  </si>
  <si>
    <t>Panáková</t>
  </si>
  <si>
    <t>Lítov</t>
  </si>
  <si>
    <t>albohan@panakovi.cz</t>
  </si>
  <si>
    <t>Vax</t>
  </si>
  <si>
    <t>z Kmene Čeroký</t>
  </si>
  <si>
    <t>25651/972270000403644</t>
  </si>
  <si>
    <t>ZVV2, IPO2, T3, OPT3</t>
  </si>
  <si>
    <t>Qanta z Kmene Čeroký</t>
  </si>
  <si>
    <t>Bill Jinopo</t>
  </si>
  <si>
    <t>Panáková Alena</t>
  </si>
  <si>
    <t>CMK/DS/102201/16/17</t>
  </si>
  <si>
    <t>Nikita</t>
  </si>
  <si>
    <t>von der Burghaidstein</t>
  </si>
  <si>
    <t>Carmen von der Burghaidstein</t>
  </si>
  <si>
    <t>Meier Josef</t>
  </si>
  <si>
    <t>Procházka Karel</t>
  </si>
  <si>
    <t>CMKU/DS/126226/21</t>
  </si>
  <si>
    <t>Petr</t>
  </si>
  <si>
    <t>Kubačka</t>
  </si>
  <si>
    <t>Konzumní</t>
  </si>
  <si>
    <t>Havířov</t>
  </si>
  <si>
    <t>pkubacka@email.cz</t>
  </si>
  <si>
    <t>Artuš</t>
  </si>
  <si>
    <t>Scania Hof</t>
  </si>
  <si>
    <t>60664/941000024681105</t>
  </si>
  <si>
    <t>Cindy Rival Hof</t>
  </si>
  <si>
    <t>Fin v. d. Piste Trophe</t>
  </si>
  <si>
    <t>Kubačka Petr</t>
  </si>
  <si>
    <t>CMKU/DS/104184/16/18</t>
  </si>
  <si>
    <t xml:space="preserve">Velká nad Veličkou </t>
  </si>
  <si>
    <t>Velka Nad Velickou</t>
  </si>
  <si>
    <t>lmezirka@gmail.com</t>
  </si>
  <si>
    <t>CMKU/DS/124444/20</t>
  </si>
  <si>
    <t>Marián</t>
  </si>
  <si>
    <t>Pikl</t>
  </si>
  <si>
    <t xml:space="preserve">1.maje </t>
  </si>
  <si>
    <t>Třemošná</t>
  </si>
  <si>
    <t xml:space="preserve">Pikl@autohelus.cz </t>
  </si>
  <si>
    <t xml:space="preserve">Akkiera </t>
  </si>
  <si>
    <t>Z Třemošenského údolí</t>
  </si>
  <si>
    <t>7JXZ1/P</t>
  </si>
  <si>
    <t>Adelynn Mia-Bariki</t>
  </si>
  <si>
    <t xml:space="preserve">Pikl Marián </t>
  </si>
  <si>
    <t>CMKU/DS/115139/18/21</t>
  </si>
  <si>
    <t>ED 0/2</t>
  </si>
  <si>
    <t>Pracovní - krátkosrstí psi</t>
  </si>
  <si>
    <t>Jméno psa:</t>
  </si>
  <si>
    <t>Chovatelská stanice:</t>
  </si>
  <si>
    <t>Majitel:</t>
  </si>
  <si>
    <t>Katalogové číslo:</t>
  </si>
  <si>
    <t>Pracovní - dlouhosrstí psi</t>
  </si>
  <si>
    <t>Pracovní - krátkosrsté feny</t>
  </si>
  <si>
    <t>Pracovní - dlouhosrsté feny</t>
  </si>
  <si>
    <t>Dospívajících - krátkosrstí psi</t>
  </si>
  <si>
    <t>Dospívajících - krátkosrsté feny</t>
  </si>
  <si>
    <t>Mladých - krátkosrstí psi</t>
  </si>
  <si>
    <t>Mladých - dlouhosrstí psi</t>
  </si>
  <si>
    <t>Mladých - krátkosrsté feny</t>
  </si>
  <si>
    <t>Mladých - dlouhosrsté feny</t>
  </si>
  <si>
    <t>Dorost II. - krátkosrstí psi</t>
  </si>
  <si>
    <t>Dorost II. - dlouhosrstí psi</t>
  </si>
  <si>
    <t>Dorost II. - krátkosrsté feny</t>
  </si>
  <si>
    <t>Dorost II. - dlouhosrsté feny</t>
  </si>
  <si>
    <t>Dorost I. - krátkosrstí psi</t>
  </si>
  <si>
    <t>Passa von</t>
  </si>
  <si>
    <t>Dorost I. - dlouhosrstí psi</t>
  </si>
  <si>
    <t>Dorost I. - krátkosrsté feny</t>
  </si>
  <si>
    <t>Prada von</t>
  </si>
  <si>
    <t>Dorost I. - dlouhosrsté feny</t>
  </si>
  <si>
    <t>Veteránů - krátkosrstí psi</t>
  </si>
  <si>
    <t>Veteránů - dlouhosrstí psi</t>
  </si>
  <si>
    <t>Veteránů - krátkosrsté feny</t>
  </si>
  <si>
    <t>Veteránů - dlouhosrsté feny</t>
  </si>
  <si>
    <t>a1</t>
  </si>
  <si>
    <t>a2</t>
  </si>
  <si>
    <t>a3</t>
  </si>
  <si>
    <t>a4</t>
  </si>
  <si>
    <t>a6</t>
  </si>
  <si>
    <t>a7</t>
  </si>
  <si>
    <t>a8</t>
  </si>
  <si>
    <t>a10</t>
  </si>
  <si>
    <t>a11</t>
  </si>
  <si>
    <t>a12</t>
  </si>
  <si>
    <t>a17</t>
  </si>
  <si>
    <t>a18</t>
  </si>
  <si>
    <t>a19</t>
  </si>
  <si>
    <t>a22</t>
  </si>
  <si>
    <t>a23</t>
  </si>
  <si>
    <t>a24</t>
  </si>
  <si>
    <t>a25</t>
  </si>
  <si>
    <t>a26</t>
  </si>
  <si>
    <t>a27</t>
  </si>
  <si>
    <t>a28</t>
  </si>
  <si>
    <t>a29</t>
  </si>
  <si>
    <t>a40</t>
  </si>
  <si>
    <t>a41</t>
  </si>
  <si>
    <t>a42</t>
  </si>
  <si>
    <t>číslo podle přihlášek</t>
  </si>
  <si>
    <t>Katalogový číslo</t>
  </si>
  <si>
    <t>číslo pro složení katalogu</t>
  </si>
  <si>
    <t>Počet fen:</t>
  </si>
  <si>
    <t>Celkem:</t>
  </si>
  <si>
    <t>Dorost I. krátkosrstý pes</t>
  </si>
  <si>
    <t>18.1.2021</t>
  </si>
  <si>
    <t>12.1.2021</t>
  </si>
  <si>
    <t>Půža Jiří</t>
  </si>
  <si>
    <t>4.2.2021</t>
  </si>
  <si>
    <t>Kallenbach Torsten</t>
  </si>
  <si>
    <t>31.1.2021</t>
  </si>
  <si>
    <t>Součková Alena</t>
  </si>
  <si>
    <t>30.12.2020</t>
  </si>
  <si>
    <t>6.12.2020</t>
  </si>
  <si>
    <t>Černovský Miloslav</t>
  </si>
  <si>
    <t>Mero</t>
  </si>
  <si>
    <t>1.12.2020</t>
  </si>
  <si>
    <t>Mäibuchen Yannick</t>
  </si>
  <si>
    <t>Kopeční Irena a Roman</t>
  </si>
  <si>
    <t>Sýkorová Eva</t>
  </si>
  <si>
    <t>Dorost I. dlouhosrstý pes</t>
  </si>
  <si>
    <t>15.2.2021</t>
  </si>
  <si>
    <t>Burianová Dana</t>
  </si>
  <si>
    <t>Počepická Kateřina</t>
  </si>
  <si>
    <t>Dorost I. krátkosrstá fena</t>
  </si>
  <si>
    <t>7.1.2021</t>
  </si>
  <si>
    <t>Gill Václav</t>
  </si>
  <si>
    <t>SZ 2370484</t>
  </si>
  <si>
    <t>20.2.2021</t>
  </si>
  <si>
    <t>Skrbek Pavel</t>
  </si>
  <si>
    <t>21.1.2021</t>
  </si>
  <si>
    <t>19.11.2020</t>
  </si>
  <si>
    <t>Majsniar Albín</t>
  </si>
  <si>
    <t>24.1.2021</t>
  </si>
  <si>
    <t>Rychetský Tomáš</t>
  </si>
  <si>
    <t>3.2.2021</t>
  </si>
  <si>
    <t>Kopecká Lucie</t>
  </si>
  <si>
    <t>28.1.2021</t>
  </si>
  <si>
    <t>Plšková M., RNDr.</t>
  </si>
  <si>
    <t xml:space="preserve">Xendy </t>
  </si>
  <si>
    <t>25.11.2020</t>
  </si>
  <si>
    <t>Anderle Jaromír</t>
  </si>
  <si>
    <t>Bačáková Iveta</t>
  </si>
  <si>
    <t>Kratochvílová Martina</t>
  </si>
  <si>
    <t>Dorost I. dlouhosrstá fena</t>
  </si>
  <si>
    <t>Burianová Dagmar, Mgr.</t>
  </si>
  <si>
    <t>Dorost II. krátkosrstý pes</t>
  </si>
  <si>
    <t>7.10.2020</t>
  </si>
  <si>
    <t>Šnytr Oldřich</t>
  </si>
  <si>
    <t>124279/20</t>
  </si>
  <si>
    <t>10.10.2020</t>
  </si>
  <si>
    <t>Kopecká Lucie, Ing.</t>
  </si>
  <si>
    <t>Bartušková Ivana</t>
  </si>
  <si>
    <t>11.11.2020</t>
  </si>
  <si>
    <t>Čejková Dana</t>
  </si>
  <si>
    <t>Matuškovic Luboš</t>
  </si>
  <si>
    <t>Záborcová Marie</t>
  </si>
  <si>
    <t>28.10.2020</t>
  </si>
  <si>
    <t>Koloušek Jiří</t>
  </si>
  <si>
    <t>14.10.2020</t>
  </si>
  <si>
    <t>Mezírka</t>
  </si>
  <si>
    <t>Velka Nad Veličkou</t>
  </si>
  <si>
    <t>Yegor</t>
  </si>
  <si>
    <t>23.9.2020</t>
  </si>
  <si>
    <t>Dovrtěl Jiří</t>
  </si>
  <si>
    <t>Mezírka Lukáš</t>
  </si>
  <si>
    <t>8.10.2020</t>
  </si>
  <si>
    <t>Ossmann Marco</t>
  </si>
  <si>
    <t>Dorost II. dlouhosrstý pes</t>
  </si>
  <si>
    <t>16.9.2020</t>
  </si>
  <si>
    <t>Jágrová Hana</t>
  </si>
  <si>
    <t>Dorost II. krátkosrstá fena</t>
  </si>
  <si>
    <t>26.9.2020</t>
  </si>
  <si>
    <t>20.10.2020</t>
  </si>
  <si>
    <t>Pružinová Šárka</t>
  </si>
  <si>
    <t>31.8.2020</t>
  </si>
  <si>
    <t>Hanousek Milan</t>
  </si>
  <si>
    <t>Podkovičáková Věra</t>
  </si>
  <si>
    <t>4.9.2020</t>
  </si>
  <si>
    <t>15.10.2020</t>
  </si>
  <si>
    <t>3.11.2020</t>
  </si>
  <si>
    <t>Rychnovský Tomáš</t>
  </si>
  <si>
    <t>21.8.2020</t>
  </si>
  <si>
    <t>Dovrtěl Jiří, Mgr., LL.M.</t>
  </si>
  <si>
    <t>Kozáková Kateřina</t>
  </si>
  <si>
    <t>Dorost II. dlouhosrstá fena</t>
  </si>
  <si>
    <t>1.11.2020</t>
  </si>
  <si>
    <t>Smětalová Martina</t>
  </si>
  <si>
    <t>Mladých krátkosrstý pes</t>
  </si>
  <si>
    <t>10.8.2020</t>
  </si>
  <si>
    <t>Melounová Helena, MVDr.</t>
  </si>
  <si>
    <t>6.8.2020</t>
  </si>
  <si>
    <t>Žák Kamil, Bc.</t>
  </si>
  <si>
    <t>Kouřilová Petra</t>
  </si>
  <si>
    <t>1.3.2020</t>
  </si>
  <si>
    <t>Niedergassel Jörg</t>
  </si>
  <si>
    <t>Zevl Jiří</t>
  </si>
  <si>
    <t>13.4.2020</t>
  </si>
  <si>
    <t>Mladých dlouhosrstý pes</t>
  </si>
  <si>
    <t>8.7.2020</t>
  </si>
  <si>
    <t>Prosek Martin</t>
  </si>
  <si>
    <t>Klímová Dagmar</t>
  </si>
  <si>
    <t>21.3.2020</t>
  </si>
  <si>
    <t>Králová Jolana</t>
  </si>
  <si>
    <t>Texas</t>
  </si>
  <si>
    <t>USA</t>
  </si>
  <si>
    <t>4.3.2020</t>
  </si>
  <si>
    <t>Dauherty Terri</t>
  </si>
  <si>
    <t>Mladých krátkosrstá fena</t>
  </si>
  <si>
    <t>7.4.2020</t>
  </si>
  <si>
    <t>15.8.2020</t>
  </si>
  <si>
    <t>22.2.2020</t>
  </si>
  <si>
    <t>1.7.2020</t>
  </si>
  <si>
    <t>15.3.2020</t>
  </si>
  <si>
    <t>Reška Martin</t>
  </si>
  <si>
    <t>Reška Martin, Priatková Andrea</t>
  </si>
  <si>
    <t>6.3.2020</t>
  </si>
  <si>
    <t>5.3.2020</t>
  </si>
  <si>
    <t>23.7.2020</t>
  </si>
  <si>
    <t>5.5.2020</t>
  </si>
  <si>
    <t>Bínová Renata</t>
  </si>
  <si>
    <t>Mladých dlouhosrstá fena</t>
  </si>
  <si>
    <t>7.7.2020</t>
  </si>
  <si>
    <t>25.3.2020</t>
  </si>
  <si>
    <t>Kasl David</t>
  </si>
  <si>
    <t>Polan Ivo</t>
  </si>
  <si>
    <t>Dospívajících krátkosrstý pes</t>
  </si>
  <si>
    <t>26.10.2019</t>
  </si>
  <si>
    <t>Prokopová Monika</t>
  </si>
  <si>
    <t>30.10.2019</t>
  </si>
  <si>
    <t>Pekárek Marian</t>
  </si>
  <si>
    <t>Decado</t>
  </si>
  <si>
    <t>9.2.2020</t>
  </si>
  <si>
    <t>Marek Michal</t>
  </si>
  <si>
    <t>27.10.2019</t>
  </si>
  <si>
    <t>ZZO</t>
  </si>
  <si>
    <t>Hemzska Renata</t>
  </si>
  <si>
    <t>Cmku/ds/119598/19</t>
  </si>
  <si>
    <t>26.11.2019</t>
  </si>
  <si>
    <t>Svatoň Jiří</t>
  </si>
  <si>
    <t>Svatoň Jiří a David</t>
  </si>
  <si>
    <t>3.11.2019</t>
  </si>
  <si>
    <t>Havelkova Michaela Maier</t>
  </si>
  <si>
    <t>28.11.2019</t>
  </si>
  <si>
    <t>Karczub Tomáš</t>
  </si>
  <si>
    <t>Kutnar Pavel</t>
  </si>
  <si>
    <t>Vello</t>
  </si>
  <si>
    <t>6.1.2020</t>
  </si>
  <si>
    <t>WB</t>
  </si>
  <si>
    <t>Wischalla Lutz</t>
  </si>
  <si>
    <t>Janatová Štěpánka</t>
  </si>
  <si>
    <t>18.12.2019</t>
  </si>
  <si>
    <t>Horynová Zuzana</t>
  </si>
  <si>
    <t>Šimna Miroslav</t>
  </si>
  <si>
    <t>Dospívajících dlouhosrstý pes</t>
  </si>
  <si>
    <t>Dospívajících krátkosrstá fena</t>
  </si>
  <si>
    <t>30.8.2019</t>
  </si>
  <si>
    <t>Pěkníková Veronika</t>
  </si>
  <si>
    <t>Pelantová Nikol</t>
  </si>
  <si>
    <t>1.1.2020</t>
  </si>
  <si>
    <t>Šejdová Jana</t>
  </si>
  <si>
    <t>27.8.2019</t>
  </si>
  <si>
    <t>Jerychová Jaroslava</t>
  </si>
  <si>
    <t>20.2.2020</t>
  </si>
  <si>
    <t>19.10.2019</t>
  </si>
  <si>
    <t>4.12.2019</t>
  </si>
  <si>
    <t>27.1.2020</t>
  </si>
  <si>
    <t>1.2.2020</t>
  </si>
  <si>
    <t>Přibyl Bohuslav</t>
  </si>
  <si>
    <t>Kuchařík Karel</t>
  </si>
  <si>
    <t>8.10.2019</t>
  </si>
  <si>
    <t>Kopečný Roman</t>
  </si>
  <si>
    <t>Kubíková Renata</t>
  </si>
  <si>
    <t>6.12.2019</t>
  </si>
  <si>
    <t>4.10.2019</t>
  </si>
  <si>
    <t>Bartošová Petra</t>
  </si>
  <si>
    <t>15.2.2020</t>
  </si>
  <si>
    <t>Dospívajících dlouhosrstá fena</t>
  </si>
  <si>
    <t>Pracovních krátkosrstý pes</t>
  </si>
  <si>
    <t>10.7.2016</t>
  </si>
  <si>
    <t>5.5.2017</t>
  </si>
  <si>
    <t>Purmová Hana</t>
  </si>
  <si>
    <t>Blovská Göttfert Seraphine</t>
  </si>
  <si>
    <t>27.4.2018</t>
  </si>
  <si>
    <t>13.3.2019</t>
  </si>
  <si>
    <t>22.1.2017</t>
  </si>
  <si>
    <t>Vanžura Jiří</t>
  </si>
  <si>
    <t>106206/17/19</t>
  </si>
  <si>
    <t>21.11.2016</t>
  </si>
  <si>
    <t>14.9.2018</t>
  </si>
  <si>
    <t>Koběnova Věra</t>
  </si>
  <si>
    <t>13.4.2018</t>
  </si>
  <si>
    <t>3.11.2017</t>
  </si>
  <si>
    <t>3.4.2016</t>
  </si>
  <si>
    <t>Ryneš Ctibor</t>
  </si>
  <si>
    <t>31.5.2018</t>
  </si>
  <si>
    <t>4.9.2018</t>
  </si>
  <si>
    <t>1.8.2016</t>
  </si>
  <si>
    <t>3.1.2017</t>
  </si>
  <si>
    <t>Sprenger Uwe</t>
  </si>
  <si>
    <t>10.3.2019</t>
  </si>
  <si>
    <t>Saymon</t>
  </si>
  <si>
    <t>30.5.2016</t>
  </si>
  <si>
    <t>Sedlák Karel</t>
  </si>
  <si>
    <t>28.2.2018</t>
  </si>
  <si>
    <t>Kratochvíl Josef</t>
  </si>
  <si>
    <t>111462/18/20</t>
  </si>
  <si>
    <t>7.6.2019</t>
  </si>
  <si>
    <t>CMKU/DS/117578/19/21</t>
  </si>
  <si>
    <t>12.3.2016</t>
  </si>
  <si>
    <t>Jovanovič Damir</t>
  </si>
  <si>
    <t>27.7.2016</t>
  </si>
  <si>
    <t>1.1.2016</t>
  </si>
  <si>
    <t>18.2.2016</t>
  </si>
  <si>
    <t>13.12.2018</t>
  </si>
  <si>
    <t>5.10.2017</t>
  </si>
  <si>
    <t>Yzerah</t>
  </si>
  <si>
    <t>Manepo Ideál</t>
  </si>
  <si>
    <t>8.3.2016</t>
  </si>
  <si>
    <t>Nekvapilová Zina</t>
  </si>
  <si>
    <t>Trnková Martina</t>
  </si>
  <si>
    <t>Pracovních dlouhosrstý pes</t>
  </si>
  <si>
    <t>16.1.2017</t>
  </si>
  <si>
    <t>7.3.2016</t>
  </si>
  <si>
    <t>Pistulková Lenka</t>
  </si>
  <si>
    <t>1.4.2017</t>
  </si>
  <si>
    <t>Konečná Lucie</t>
  </si>
  <si>
    <t>25.6.2019</t>
  </si>
  <si>
    <t>Dovrtěl Jiří, Mgr., LL. M.</t>
  </si>
  <si>
    <t>Pracovních krátkosrstá fena</t>
  </si>
  <si>
    <t>12.10.2018</t>
  </si>
  <si>
    <t>14.7.2019</t>
  </si>
  <si>
    <t>28.8.2017</t>
  </si>
  <si>
    <t>Kostková Jana</t>
  </si>
  <si>
    <t>Kostkovi Jana a Petr</t>
  </si>
  <si>
    <t>27.4.2019</t>
  </si>
  <si>
    <t>117135/19/21</t>
  </si>
  <si>
    <t>24.2.2016</t>
  </si>
  <si>
    <t>23.3.2019</t>
  </si>
  <si>
    <t>Svatoš Miroslav, MVDr.</t>
  </si>
  <si>
    <t>18.11.2018</t>
  </si>
  <si>
    <t>78143/18</t>
  </si>
  <si>
    <t>9.6.2019</t>
  </si>
  <si>
    <t>2.3.2019</t>
  </si>
  <si>
    <t>Košař Martin</t>
  </si>
  <si>
    <t>15.3.2017</t>
  </si>
  <si>
    <t>6.2.2016</t>
  </si>
  <si>
    <t>Kareah</t>
  </si>
  <si>
    <t>Anrebri</t>
  </si>
  <si>
    <t>6.9.2014</t>
  </si>
  <si>
    <t>Machová Angelovová Renata</t>
  </si>
  <si>
    <t>22.10.2017</t>
  </si>
  <si>
    <t>1.6.2016</t>
  </si>
  <si>
    <t>108086/17/19</t>
  </si>
  <si>
    <t>1.6.2017</t>
  </si>
  <si>
    <t>30.7.2018</t>
  </si>
  <si>
    <t>Gecelovsky Jan</t>
  </si>
  <si>
    <t>18.2.2017</t>
  </si>
  <si>
    <t>Melounová Helena MVDr.</t>
  </si>
  <si>
    <t>Sebera Jiří</t>
  </si>
  <si>
    <t>6.2.2018</t>
  </si>
  <si>
    <t>7.3.2017</t>
  </si>
  <si>
    <t>Vendolská</t>
  </si>
  <si>
    <t>22.3.2017</t>
  </si>
  <si>
    <t>Vendovská Jana</t>
  </si>
  <si>
    <t>1.3.2018</t>
  </si>
  <si>
    <t>13.4.2017</t>
  </si>
  <si>
    <t>Hubená Petra</t>
  </si>
  <si>
    <t>11.3.2018</t>
  </si>
  <si>
    <t>7.7.2018</t>
  </si>
  <si>
    <t>Grossmann Václav</t>
  </si>
  <si>
    <t>Honzárková Klára, Mgr.</t>
  </si>
  <si>
    <t>5.3.2019</t>
  </si>
  <si>
    <t>10.11.2015</t>
  </si>
  <si>
    <t>28.5.2018</t>
  </si>
  <si>
    <t>77159/18</t>
  </si>
  <si>
    <t>Pracovních dlouhosrstá fena</t>
  </si>
  <si>
    <t>Akkiera</t>
  </si>
  <si>
    <t>20.12.2018</t>
  </si>
  <si>
    <t>ZVV1,BH-VT, SPR1</t>
  </si>
  <si>
    <t>16.3.2019</t>
  </si>
  <si>
    <t xml:space="preserve"> Burianová Dana</t>
  </si>
  <si>
    <t>5.1.2015</t>
  </si>
  <si>
    <t>Leontýnka</t>
  </si>
  <si>
    <t>Půnoční měsíc</t>
  </si>
  <si>
    <t>8.2.2018</t>
  </si>
  <si>
    <t>Kloučková Kateřina</t>
  </si>
  <si>
    <t>12.10.2014</t>
  </si>
  <si>
    <t>Kašpar Jaroslav</t>
  </si>
  <si>
    <t>Veteránů krátkosrstý pes</t>
  </si>
  <si>
    <t>23.5.2012</t>
  </si>
  <si>
    <t>Kastlová Hana</t>
  </si>
  <si>
    <t>25.7.2012</t>
  </si>
  <si>
    <t>van Dorssen Mathijs W.</t>
  </si>
  <si>
    <t>26.2.2012</t>
  </si>
  <si>
    <t>Kerul Vladimír</t>
  </si>
  <si>
    <t>CMKU/DS/85567/12/15</t>
  </si>
  <si>
    <t>Morpheus</t>
  </si>
  <si>
    <t>7.6.2011</t>
  </si>
  <si>
    <t>Trnová Martina</t>
  </si>
  <si>
    <t>13.10.2012</t>
  </si>
  <si>
    <t>Veteránů dlouhosrstý pes</t>
  </si>
  <si>
    <t>21.9.2012</t>
  </si>
  <si>
    <t>Veteránů krátkosrstá fena</t>
  </si>
  <si>
    <t>13.5.2012</t>
  </si>
  <si>
    <t>Pavlasová Alena</t>
  </si>
  <si>
    <t>Žák Kamil</t>
  </si>
  <si>
    <t>9.1.2013</t>
  </si>
  <si>
    <t>Fiala Vítězslav</t>
  </si>
  <si>
    <t>Janota Luděk, Mgr.</t>
  </si>
  <si>
    <t>27.7.2013</t>
  </si>
  <si>
    <t>21.5.2011</t>
  </si>
  <si>
    <t>Brynda Vladimír</t>
  </si>
  <si>
    <t>veteránů dlouhosrstá fena</t>
  </si>
  <si>
    <t>Ohodnocení</t>
  </si>
  <si>
    <t>V1,NV</t>
  </si>
  <si>
    <t>V2</t>
  </si>
  <si>
    <t>V3</t>
  </si>
  <si>
    <t>V1, NV</t>
  </si>
  <si>
    <t>V4</t>
  </si>
  <si>
    <t>V5</t>
  </si>
  <si>
    <t>VN 2</t>
  </si>
  <si>
    <t>VN 1</t>
  </si>
  <si>
    <t>VN 8</t>
  </si>
  <si>
    <t>VN 9</t>
  </si>
  <si>
    <t>VN 6</t>
  </si>
  <si>
    <t>VN 3</t>
  </si>
  <si>
    <t>N 6</t>
  </si>
  <si>
    <t>VN 5</t>
  </si>
  <si>
    <t>VN 4</t>
  </si>
  <si>
    <t>VN 10</t>
  </si>
  <si>
    <t>N 12</t>
  </si>
  <si>
    <t>VN 11</t>
  </si>
  <si>
    <t>VN 7</t>
  </si>
  <si>
    <t>VD 1, VT</t>
  </si>
  <si>
    <t>VD</t>
  </si>
  <si>
    <t>VD 3</t>
  </si>
  <si>
    <t>VD 2</t>
  </si>
  <si>
    <t>VD 1</t>
  </si>
  <si>
    <t>VD 5</t>
  </si>
  <si>
    <t>VD 10</t>
  </si>
  <si>
    <t>VD 8</t>
  </si>
  <si>
    <t>VD 9</t>
  </si>
  <si>
    <t>VD 4</t>
  </si>
  <si>
    <t>VD 7</t>
  </si>
  <si>
    <t>VD 6</t>
  </si>
  <si>
    <t>VD 11</t>
  </si>
  <si>
    <t>VD 12</t>
  </si>
  <si>
    <t>VA 7</t>
  </si>
  <si>
    <t>VA 3</t>
  </si>
  <si>
    <t>V 10</t>
  </si>
  <si>
    <t>VA 5</t>
  </si>
  <si>
    <t>VA 4</t>
  </si>
  <si>
    <t>V 6</t>
  </si>
  <si>
    <t>V 7</t>
  </si>
  <si>
    <t>VA 1, CAC, KV</t>
  </si>
  <si>
    <t>V 9</t>
  </si>
  <si>
    <t>V 8</t>
  </si>
  <si>
    <t>V 1</t>
  </si>
  <si>
    <t>V 3</t>
  </si>
  <si>
    <t>VA 6</t>
  </si>
  <si>
    <t>VA 2, res. CAC</t>
  </si>
  <si>
    <t>V 11</t>
  </si>
  <si>
    <t>V 2</t>
  </si>
  <si>
    <t>V</t>
  </si>
  <si>
    <t>V 4</t>
  </si>
  <si>
    <t>V 12</t>
  </si>
  <si>
    <t>V 13</t>
  </si>
  <si>
    <t>V 14</t>
  </si>
  <si>
    <t>CHOVATELSKÉ STANICE</t>
  </si>
  <si>
    <t>1. MÍSTO - DLOUHOSRSTÍ</t>
  </si>
  <si>
    <t>1. MÍSTO - KRÁTKOSRSTÍ</t>
  </si>
  <si>
    <t>2. MÍSTO - KRÁTKOSRSTÍ</t>
  </si>
  <si>
    <t>3. MÍSTO - KRÁTKOSRSTÍ</t>
  </si>
  <si>
    <t>4. MÍSTO - KRÁTKOSRSTÍ</t>
  </si>
  <si>
    <t>HARTIS BOHEMIA</t>
  </si>
  <si>
    <t>MIR - JAR</t>
  </si>
  <si>
    <t>FROM GEORGELAND</t>
  </si>
  <si>
    <t>BEST OF THE GODS I.</t>
  </si>
  <si>
    <t>BEST OF THE GODS II.</t>
  </si>
  <si>
    <t>KVV NO 2021 - Horní Bříza</t>
  </si>
  <si>
    <t>Nemo Mir Jar VA 3</t>
  </si>
</sst>
</file>

<file path=xl/styles.xml><?xml version="1.0" encoding="utf-8"?>
<styleSheet xmlns="http://schemas.openxmlformats.org/spreadsheetml/2006/main">
  <numFmts count="4">
    <numFmt numFmtId="165" formatCode="yyyy\-mm\-dd\ h:mm:ss\ AM/PM"/>
    <numFmt numFmtId="167" formatCode="m/d"/>
    <numFmt numFmtId="168" formatCode="yyyy\-mm\-dd\ hh:mm:ss"/>
    <numFmt numFmtId="170" formatCode="yyyy/m"/>
  </numFmts>
  <fonts count="40">
    <font>
      <sz val="10"/>
      <color rgb="FF000000"/>
      <name val="Arial"/>
    </font>
    <font>
      <sz val="10"/>
      <color rgb="FF555555"/>
      <name val="Droid Sans"/>
    </font>
    <font>
      <sz val="10"/>
      <color rgb="FF555555"/>
      <name val="Droid Sans"/>
    </font>
    <font>
      <b/>
      <sz val="18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b/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10"/>
      <color rgb="FF000000"/>
      <name val="Arial"/>
    </font>
    <font>
      <sz val="9"/>
      <color rgb="FF000000"/>
      <name val="Arial"/>
    </font>
    <font>
      <b/>
      <i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sz val="10"/>
      <color rgb="FF555555"/>
      <name val="Arial"/>
    </font>
    <font>
      <u/>
      <sz val="10"/>
      <color rgb="FF555555"/>
      <name val="Droid Sans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8"/>
      <color rgb="FF00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3CC64"/>
        <bgColor rgb="FFF3CC64"/>
      </patternFill>
    </fill>
    <fill>
      <patternFill patternType="solid">
        <fgColor rgb="FFA4C2F4"/>
        <bgColor rgb="FFA4C2F4"/>
      </patternFill>
    </fill>
    <fill>
      <patternFill patternType="solid">
        <fgColor rgb="FFFAAEB5"/>
        <bgColor rgb="FFFAAEB5"/>
      </patternFill>
    </fill>
    <fill>
      <patternFill patternType="solid">
        <fgColor rgb="FF00FF00"/>
        <bgColor rgb="FF00FF00"/>
      </patternFill>
    </fill>
    <fill>
      <patternFill patternType="solid">
        <fgColor rgb="FFFF51C1"/>
        <bgColor rgb="FFFF51C1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rgb="FFF3CC64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indexed="64"/>
      </patternFill>
    </fill>
    <fill>
      <patternFill patternType="solid">
        <fgColor rgb="FFF0A8C7"/>
        <bgColor rgb="FFA4C2F4"/>
      </patternFill>
    </fill>
    <fill>
      <patternFill patternType="solid">
        <fgColor theme="0"/>
        <bgColor rgb="FFFAAEB5"/>
      </patternFill>
    </fill>
  </fills>
  <borders count="2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4" fillId="0" borderId="0" xfId="0" applyFont="1"/>
    <xf numFmtId="0" fontId="5" fillId="6" borderId="3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0" fontId="7" fillId="6" borderId="5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right"/>
    </xf>
    <xf numFmtId="0" fontId="0" fillId="6" borderId="9" xfId="0" applyFont="1" applyFill="1" applyBorder="1" applyAlignment="1">
      <alignment horizontal="left"/>
    </xf>
    <xf numFmtId="0" fontId="4" fillId="6" borderId="9" xfId="0" applyFont="1" applyFill="1" applyBorder="1"/>
    <xf numFmtId="0" fontId="9" fillId="6" borderId="9" xfId="0" applyFont="1" applyFill="1" applyBorder="1" applyAlignment="1">
      <alignment horizontal="right"/>
    </xf>
    <xf numFmtId="0" fontId="10" fillId="7" borderId="10" xfId="0" applyFont="1" applyFill="1" applyBorder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6" borderId="8" xfId="0" applyFont="1" applyFill="1" applyBorder="1" applyAlignment="1">
      <alignment horizontal="right"/>
    </xf>
    <xf numFmtId="0" fontId="10" fillId="8" borderId="10" xfId="0" applyFont="1" applyFill="1" applyBorder="1" applyAlignment="1">
      <alignment horizontal="center"/>
    </xf>
    <xf numFmtId="0" fontId="11" fillId="6" borderId="0" xfId="0" applyFont="1" applyFill="1" applyAlignment="1">
      <alignment horizontal="right"/>
    </xf>
    <xf numFmtId="0" fontId="12" fillId="6" borderId="9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6" fillId="6" borderId="9" xfId="0" applyFont="1" applyFill="1" applyBorder="1"/>
    <xf numFmtId="0" fontId="5" fillId="6" borderId="9" xfId="0" applyFont="1" applyFill="1" applyBorder="1" applyAlignment="1">
      <alignment horizontal="right"/>
    </xf>
    <xf numFmtId="0" fontId="9" fillId="6" borderId="3" xfId="0" applyFont="1" applyFill="1" applyBorder="1" applyAlignment="1">
      <alignment horizontal="right"/>
    </xf>
    <xf numFmtId="0" fontId="4" fillId="6" borderId="4" xfId="0" applyFont="1" applyFill="1" applyBorder="1" applyAlignment="1">
      <alignment horizontal="right"/>
    </xf>
    <xf numFmtId="0" fontId="9" fillId="6" borderId="4" xfId="0" applyFont="1" applyFill="1" applyBorder="1" applyAlignment="1">
      <alignment horizontal="right"/>
    </xf>
    <xf numFmtId="0" fontId="7" fillId="0" borderId="0" xfId="0" applyFont="1" applyAlignment="1"/>
    <xf numFmtId="0" fontId="0" fillId="0" borderId="0" xfId="0" applyFont="1" applyAlignment="1"/>
    <xf numFmtId="0" fontId="0" fillId="0" borderId="0" xfId="0" applyFont="1"/>
    <xf numFmtId="0" fontId="0" fillId="3" borderId="0" xfId="0" applyFont="1" applyFill="1" applyAlignment="1"/>
    <xf numFmtId="0" fontId="0" fillId="3" borderId="0" xfId="0" applyFont="1" applyFill="1"/>
    <xf numFmtId="0" fontId="0" fillId="9" borderId="0" xfId="0" applyFont="1" applyFill="1" applyAlignment="1">
      <alignment vertical="center" wrapText="1"/>
    </xf>
    <xf numFmtId="0" fontId="0" fillId="7" borderId="0" xfId="0" applyFont="1" applyFill="1" applyAlignment="1">
      <alignment vertical="center" wrapText="1"/>
    </xf>
    <xf numFmtId="0" fontId="0" fillId="4" borderId="0" xfId="0" applyFont="1" applyFill="1" applyAlignment="1">
      <alignment vertical="center" wrapText="1"/>
    </xf>
    <xf numFmtId="165" fontId="0" fillId="4" borderId="0" xfId="0" applyNumberFormat="1" applyFont="1" applyFill="1" applyAlignment="1">
      <alignment vertical="center" wrapText="1"/>
    </xf>
    <xf numFmtId="49" fontId="0" fillId="4" borderId="0" xfId="0" applyNumberFormat="1" applyFont="1" applyFill="1" applyAlignment="1">
      <alignment vertical="center" wrapText="1"/>
    </xf>
    <xf numFmtId="168" fontId="0" fillId="4" borderId="0" xfId="0" applyNumberFormat="1" applyFont="1" applyFill="1" applyAlignment="1">
      <alignment vertical="center" wrapText="1"/>
    </xf>
    <xf numFmtId="0" fontId="0" fillId="4" borderId="0" xfId="0" applyFont="1" applyFill="1" applyAlignment="1">
      <alignment vertical="center" wrapText="1"/>
    </xf>
    <xf numFmtId="0" fontId="13" fillId="9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0" fontId="0" fillId="9" borderId="1" xfId="0" applyFont="1" applyFill="1" applyBorder="1" applyAlignment="1">
      <alignment vertical="center" wrapText="1"/>
    </xf>
    <xf numFmtId="0" fontId="0" fillId="7" borderId="0" xfId="0" applyFont="1" applyFill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0" fontId="13" fillId="9" borderId="1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165" fontId="0" fillId="0" borderId="1" xfId="0" applyNumberFormat="1" applyFont="1" applyBorder="1" applyAlignment="1">
      <alignment vertical="center" wrapText="1"/>
    </xf>
    <xf numFmtId="168" fontId="0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168" fontId="0" fillId="0" borderId="0" xfId="0" applyNumberFormat="1" applyFont="1" applyAlignment="1">
      <alignment vertical="center" wrapText="1"/>
    </xf>
    <xf numFmtId="0" fontId="0" fillId="0" borderId="0" xfId="0" quotePrefix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" xfId="0" quotePrefix="1" applyFont="1" applyFill="1" applyBorder="1" applyAlignment="1">
      <alignment vertical="center" wrapText="1"/>
    </xf>
    <xf numFmtId="168" fontId="0" fillId="4" borderId="1" xfId="0" applyNumberFormat="1" applyFont="1" applyFill="1" applyBorder="1" applyAlignment="1">
      <alignment vertical="center" wrapText="1"/>
    </xf>
    <xf numFmtId="49" fontId="0" fillId="4" borderId="1" xfId="0" applyNumberFormat="1" applyFont="1" applyFill="1" applyBorder="1" applyAlignment="1">
      <alignment vertical="center" wrapText="1"/>
    </xf>
    <xf numFmtId="168" fontId="15" fillId="4" borderId="1" xfId="0" applyNumberFormat="1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13" fillId="9" borderId="0" xfId="0" applyFont="1" applyFill="1" applyAlignment="1">
      <alignment vertical="center" wrapText="1"/>
    </xf>
    <xf numFmtId="0" fontId="0" fillId="1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0" fillId="2" borderId="0" xfId="0" applyFont="1" applyFill="1" applyAlignment="1">
      <alignment horizontal="left"/>
    </xf>
    <xf numFmtId="0" fontId="0" fillId="1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11" borderId="1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vertical="center" wrapText="1"/>
    </xf>
    <xf numFmtId="165" fontId="0" fillId="2" borderId="1" xfId="0" applyNumberFormat="1" applyFont="1" applyFill="1" applyBorder="1" applyAlignment="1">
      <alignment vertical="center" wrapText="1"/>
    </xf>
    <xf numFmtId="168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0" xfId="0" quotePrefix="1" applyFont="1" applyAlignment="1">
      <alignment vertical="center" wrapText="1"/>
    </xf>
    <xf numFmtId="0" fontId="0" fillId="0" borderId="0" xfId="0" applyFont="1" applyAlignment="1">
      <alignment horizontal="right"/>
    </xf>
    <xf numFmtId="1" fontId="0" fillId="3" borderId="0" xfId="0" applyNumberFormat="1" applyFont="1" applyFill="1" applyAlignment="1">
      <alignment horizontal="right"/>
    </xf>
    <xf numFmtId="0" fontId="17" fillId="0" borderId="0" xfId="0" applyFont="1" applyAlignment="1">
      <alignment vertical="center" wrapText="1"/>
    </xf>
    <xf numFmtId="165" fontId="0" fillId="0" borderId="1" xfId="0" applyNumberFormat="1" applyFont="1" applyBorder="1" applyAlignment="1">
      <alignment vertical="center" wrapText="1"/>
    </xf>
    <xf numFmtId="0" fontId="0" fillId="4" borderId="0" xfId="0" applyFont="1" applyFill="1" applyAlignment="1">
      <alignment horizontal="left"/>
    </xf>
    <xf numFmtId="165" fontId="18" fillId="0" borderId="1" xfId="0" applyNumberFormat="1" applyFont="1" applyBorder="1" applyAlignment="1">
      <alignment vertical="center" wrapText="1"/>
    </xf>
    <xf numFmtId="168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11" borderId="0" xfId="0" applyFont="1" applyFill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165" fontId="19" fillId="0" borderId="0" xfId="0" applyNumberFormat="1" applyFont="1" applyAlignment="1">
      <alignment vertical="center" wrapText="1"/>
    </xf>
    <xf numFmtId="168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quotePrefix="1" applyNumberFormat="1" applyFont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1" fontId="0" fillId="3" borderId="1" xfId="0" applyNumberFormat="1" applyFont="1" applyFill="1" applyBorder="1" applyAlignment="1">
      <alignment horizontal="right"/>
    </xf>
    <xf numFmtId="0" fontId="2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/>
    <xf numFmtId="0" fontId="0" fillId="2" borderId="0" xfId="0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Alignment="1">
      <alignment horizontal="right"/>
    </xf>
    <xf numFmtId="49" fontId="0" fillId="2" borderId="0" xfId="0" applyNumberFormat="1" applyFont="1" applyFill="1" applyAlignment="1"/>
    <xf numFmtId="0" fontId="21" fillId="2" borderId="0" xfId="0" applyFont="1" applyFill="1"/>
    <xf numFmtId="165" fontId="0" fillId="4" borderId="1" xfId="0" applyNumberFormat="1" applyFont="1" applyFill="1" applyBorder="1" applyAlignment="1">
      <alignment vertical="center" wrapText="1"/>
    </xf>
    <xf numFmtId="0" fontId="0" fillId="9" borderId="0" xfId="0" applyFont="1" applyFill="1" applyAlignment="1">
      <alignment vertical="center" wrapText="1"/>
    </xf>
    <xf numFmtId="0" fontId="0" fillId="4" borderId="0" xfId="0" applyFont="1" applyFill="1" applyAlignment="1">
      <alignment vertical="center" wrapText="1"/>
    </xf>
    <xf numFmtId="49" fontId="0" fillId="0" borderId="1" xfId="0" quotePrefix="1" applyNumberFormat="1" applyFont="1" applyBorder="1" applyAlignment="1">
      <alignment vertical="center" wrapText="1"/>
    </xf>
    <xf numFmtId="0" fontId="0" fillId="2" borderId="0" xfId="0" applyFont="1" applyFill="1" applyAlignment="1">
      <alignment horizontal="center"/>
    </xf>
    <xf numFmtId="170" fontId="0" fillId="0" borderId="1" xfId="0" applyNumberFormat="1" applyFont="1" applyBorder="1" applyAlignment="1">
      <alignment vertical="center" wrapText="1"/>
    </xf>
    <xf numFmtId="1" fontId="0" fillId="0" borderId="0" xfId="0" applyNumberFormat="1" applyFont="1" applyAlignment="1">
      <alignment horizontal="right"/>
    </xf>
    <xf numFmtId="0" fontId="13" fillId="9" borderId="0" xfId="0" applyFont="1" applyFill="1" applyAlignment="1">
      <alignment horizontal="right"/>
    </xf>
    <xf numFmtId="0" fontId="0" fillId="4" borderId="0" xfId="0" applyFont="1" applyFill="1"/>
    <xf numFmtId="0" fontId="0" fillId="4" borderId="0" xfId="0" applyFont="1" applyFill="1" applyAlignment="1">
      <alignment horizontal="right"/>
    </xf>
    <xf numFmtId="0" fontId="0" fillId="2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/>
    <xf numFmtId="49" fontId="0" fillId="4" borderId="0" xfId="0" applyNumberFormat="1" applyFont="1" applyFill="1" applyAlignment="1"/>
    <xf numFmtId="0" fontId="22" fillId="4" borderId="0" xfId="0" applyFont="1" applyFill="1"/>
    <xf numFmtId="0" fontId="13" fillId="9" borderId="0" xfId="0" applyFont="1" applyFill="1" applyAlignment="1">
      <alignment vertical="center"/>
    </xf>
    <xf numFmtId="0" fontId="0" fillId="2" borderId="0" xfId="0" applyFont="1" applyFill="1" applyAlignment="1"/>
    <xf numFmtId="0" fontId="0" fillId="2" borderId="12" xfId="0" applyFont="1" applyFill="1" applyBorder="1" applyAlignment="1"/>
    <xf numFmtId="0" fontId="0" fillId="10" borderId="0" xfId="0" applyFont="1" applyFill="1" applyAlignment="1">
      <alignment horizontal="right"/>
    </xf>
    <xf numFmtId="0" fontId="0" fillId="0" borderId="12" xfId="0" applyFont="1" applyBorder="1" applyAlignment="1">
      <alignment vertical="center" wrapText="1"/>
    </xf>
    <xf numFmtId="0" fontId="0" fillId="10" borderId="1" xfId="0" applyFont="1" applyFill="1" applyBorder="1" applyAlignment="1">
      <alignment vertical="center"/>
    </xf>
    <xf numFmtId="0" fontId="0" fillId="0" borderId="1" xfId="0" quotePrefix="1" applyFont="1" applyBorder="1" applyAlignment="1">
      <alignment vertical="center" wrapText="1"/>
    </xf>
    <xf numFmtId="0" fontId="13" fillId="9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/>
    <xf numFmtId="0" fontId="0" fillId="2" borderId="1" xfId="0" quotePrefix="1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49" fontId="0" fillId="2" borderId="1" xfId="0" applyNumberFormat="1" applyFont="1" applyFill="1" applyBorder="1" applyAlignment="1"/>
    <xf numFmtId="0" fontId="23" fillId="2" borderId="1" xfId="0" applyFont="1" applyFill="1" applyBorder="1"/>
    <xf numFmtId="0" fontId="0" fillId="5" borderId="0" xfId="0" applyFont="1" applyFill="1" applyAlignment="1">
      <alignment vertical="center" wrapText="1"/>
    </xf>
    <xf numFmtId="49" fontId="0" fillId="5" borderId="0" xfId="0" quotePrefix="1" applyNumberFormat="1" applyFont="1" applyFill="1" applyAlignment="1">
      <alignment vertical="center" wrapText="1"/>
    </xf>
    <xf numFmtId="165" fontId="0" fillId="5" borderId="0" xfId="0" applyNumberFormat="1" applyFont="1" applyFill="1" applyAlignment="1">
      <alignment vertical="center" wrapText="1"/>
    </xf>
    <xf numFmtId="49" fontId="0" fillId="5" borderId="0" xfId="0" applyNumberFormat="1" applyFont="1" applyFill="1" applyAlignment="1">
      <alignment vertical="center" wrapText="1"/>
    </xf>
    <xf numFmtId="165" fontId="24" fillId="5" borderId="0" xfId="0" applyNumberFormat="1" applyFont="1" applyFill="1" applyAlignment="1">
      <alignment vertical="center" wrapText="1"/>
    </xf>
    <xf numFmtId="168" fontId="0" fillId="5" borderId="0" xfId="0" applyNumberFormat="1" applyFont="1" applyFill="1" applyAlignment="1">
      <alignment vertical="center" wrapText="1"/>
    </xf>
    <xf numFmtId="0" fontId="0" fillId="5" borderId="0" xfId="0" applyFont="1" applyFill="1" applyAlignment="1">
      <alignment vertical="center" wrapText="1"/>
    </xf>
    <xf numFmtId="167" fontId="0" fillId="0" borderId="1" xfId="0" applyNumberFormat="1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quotePrefix="1" applyNumberFormat="1" applyFont="1" applyBorder="1" applyAlignment="1">
      <alignment vertical="center" wrapText="1"/>
    </xf>
    <xf numFmtId="165" fontId="0" fillId="0" borderId="2" xfId="0" applyNumberFormat="1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wrapText="1"/>
    </xf>
    <xf numFmtId="165" fontId="25" fillId="0" borderId="2" xfId="0" applyNumberFormat="1" applyFont="1" applyBorder="1" applyAlignment="1">
      <alignment vertical="center" wrapText="1"/>
    </xf>
    <xf numFmtId="168" fontId="0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9" borderId="1" xfId="0" applyFont="1" applyFill="1" applyBorder="1" applyAlignment="1">
      <alignment horizontal="right"/>
    </xf>
    <xf numFmtId="0" fontId="0" fillId="4" borderId="1" xfId="0" applyFont="1" applyFill="1" applyBorder="1" applyAlignment="1"/>
    <xf numFmtId="0" fontId="0" fillId="4" borderId="1" xfId="0" applyFont="1" applyFill="1" applyBorder="1" applyAlignment="1"/>
    <xf numFmtId="0" fontId="0" fillId="2" borderId="1" xfId="0" applyFont="1" applyFill="1" applyBorder="1" applyAlignment="1">
      <alignment horizontal="left"/>
    </xf>
    <xf numFmtId="165" fontId="0" fillId="2" borderId="0" xfId="0" applyNumberFormat="1" applyFont="1" applyFill="1" applyAlignment="1">
      <alignment vertical="center" wrapText="1"/>
    </xf>
    <xf numFmtId="49" fontId="0" fillId="2" borderId="0" xfId="0" applyNumberFormat="1" applyFont="1" applyFill="1" applyAlignment="1">
      <alignment vertical="center" wrapText="1"/>
    </xf>
    <xf numFmtId="168" fontId="0" fillId="2" borderId="0" xfId="0" applyNumberFormat="1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13" xfId="0" applyFont="1" applyBorder="1" applyAlignment="1">
      <alignment vertical="center" wrapText="1"/>
    </xf>
    <xf numFmtId="165" fontId="0" fillId="0" borderId="13" xfId="0" applyNumberFormat="1" applyFont="1" applyBorder="1" applyAlignment="1">
      <alignment vertical="center" wrapText="1"/>
    </xf>
    <xf numFmtId="49" fontId="0" fillId="0" borderId="13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168" fontId="0" fillId="0" borderId="13" xfId="0" applyNumberFormat="1" applyFont="1" applyBorder="1" applyAlignment="1">
      <alignment vertical="center" wrapText="1"/>
    </xf>
    <xf numFmtId="0" fontId="0" fillId="9" borderId="0" xfId="0" applyFont="1" applyFill="1" applyAlignment="1">
      <alignment horizontal="right"/>
    </xf>
    <xf numFmtId="49" fontId="0" fillId="4" borderId="0" xfId="0" applyNumberFormat="1" applyFont="1" applyFill="1"/>
    <xf numFmtId="165" fontId="0" fillId="4" borderId="0" xfId="0" applyNumberFormat="1" applyFont="1" applyFill="1"/>
    <xf numFmtId="165" fontId="26" fillId="4" borderId="0" xfId="0" applyNumberFormat="1" applyFont="1" applyFill="1"/>
    <xf numFmtId="168" fontId="0" fillId="4" borderId="0" xfId="0" applyNumberFormat="1" applyFont="1" applyFill="1"/>
    <xf numFmtId="49" fontId="0" fillId="2" borderId="1" xfId="0" applyNumberFormat="1" applyFont="1" applyFill="1" applyBorder="1"/>
    <xf numFmtId="165" fontId="0" fillId="2" borderId="1" xfId="0" applyNumberFormat="1" applyFont="1" applyFill="1" applyBorder="1"/>
    <xf numFmtId="165" fontId="27" fillId="2" borderId="1" xfId="0" applyNumberFormat="1" applyFont="1" applyFill="1" applyBorder="1"/>
    <xf numFmtId="168" fontId="0" fillId="2" borderId="1" xfId="0" applyNumberFormat="1" applyFont="1" applyFill="1" applyBorder="1"/>
    <xf numFmtId="0" fontId="0" fillId="0" borderId="13" xfId="0" applyFont="1" applyBorder="1" applyAlignment="1">
      <alignment vertical="center" wrapText="1"/>
    </xf>
    <xf numFmtId="0" fontId="13" fillId="9" borderId="2" xfId="0" applyFont="1" applyFill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49" fontId="0" fillId="0" borderId="16" xfId="0" applyNumberFormat="1" applyFont="1" applyBorder="1" applyAlignment="1">
      <alignment vertical="center" wrapText="1"/>
    </xf>
    <xf numFmtId="0" fontId="0" fillId="9" borderId="1" xfId="0" applyFont="1" applyFill="1" applyBorder="1" applyAlignment="1">
      <alignment vertical="center"/>
    </xf>
    <xf numFmtId="0" fontId="0" fillId="11" borderId="1" xfId="0" applyFont="1" applyFill="1" applyBorder="1" applyAlignment="1">
      <alignment vertical="center"/>
    </xf>
    <xf numFmtId="165" fontId="0" fillId="0" borderId="0" xfId="0" applyNumberFormat="1" applyFont="1" applyAlignment="1">
      <alignment vertical="center" wrapText="1"/>
    </xf>
    <xf numFmtId="0" fontId="0" fillId="4" borderId="0" xfId="0" applyFont="1" applyFill="1" applyAlignment="1">
      <alignment horizontal="right"/>
    </xf>
    <xf numFmtId="0" fontId="0" fillId="4" borderId="0" xfId="0" applyFont="1" applyFill="1"/>
    <xf numFmtId="0" fontId="0" fillId="2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vertical="center"/>
    </xf>
    <xf numFmtId="167" fontId="0" fillId="0" borderId="0" xfId="0" applyNumberFormat="1" applyFont="1" applyAlignment="1">
      <alignment vertical="center" wrapText="1"/>
    </xf>
    <xf numFmtId="0" fontId="0" fillId="4" borderId="1" xfId="0" applyFont="1" applyFill="1" applyBorder="1" applyAlignment="1">
      <alignment horizontal="right"/>
    </xf>
    <xf numFmtId="0" fontId="0" fillId="4" borderId="1" xfId="0" applyFont="1" applyFill="1" applyBorder="1"/>
    <xf numFmtId="49" fontId="0" fillId="4" borderId="1" xfId="0" applyNumberFormat="1" applyFont="1" applyFill="1" applyBorder="1"/>
    <xf numFmtId="165" fontId="0" fillId="4" borderId="1" xfId="0" applyNumberFormat="1" applyFont="1" applyFill="1" applyBorder="1"/>
    <xf numFmtId="0" fontId="0" fillId="4" borderId="1" xfId="0" applyFont="1" applyFill="1" applyBorder="1" applyAlignment="1">
      <alignment horizontal="right"/>
    </xf>
    <xf numFmtId="0" fontId="0" fillId="4" borderId="1" xfId="0" applyFont="1" applyFill="1" applyBorder="1" applyAlignment="1"/>
    <xf numFmtId="165" fontId="28" fillId="4" borderId="1" xfId="0" applyNumberFormat="1" applyFont="1" applyFill="1" applyBorder="1"/>
    <xf numFmtId="168" fontId="0" fillId="4" borderId="1" xfId="0" applyNumberFormat="1" applyFont="1" applyFill="1" applyBorder="1"/>
    <xf numFmtId="0" fontId="0" fillId="0" borderId="13" xfId="0" applyFont="1" applyBorder="1" applyAlignment="1">
      <alignment vertical="center" wrapText="1"/>
    </xf>
    <xf numFmtId="0" fontId="0" fillId="0" borderId="13" xfId="0" quotePrefix="1" applyFont="1" applyBorder="1" applyAlignment="1">
      <alignment vertical="center" wrapText="1"/>
    </xf>
    <xf numFmtId="49" fontId="0" fillId="0" borderId="13" xfId="0" applyNumberFormat="1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0" fillId="9" borderId="2" xfId="0" applyFont="1" applyFill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49" fontId="0" fillId="0" borderId="16" xfId="0" applyNumberFormat="1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0" fillId="2" borderId="1" xfId="0" applyFont="1" applyFill="1" applyBorder="1" applyAlignment="1">
      <alignment horizontal="right"/>
    </xf>
    <xf numFmtId="0" fontId="0" fillId="4" borderId="0" xfId="0" quotePrefix="1" applyFont="1" applyFill="1" applyAlignment="1">
      <alignment vertical="center" wrapText="1"/>
    </xf>
    <xf numFmtId="168" fontId="31" fillId="4" borderId="0" xfId="0" applyNumberFormat="1" applyFont="1" applyFill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32" fillId="4" borderId="0" xfId="0" applyFont="1" applyFill="1" applyAlignment="1">
      <alignment horizontal="right"/>
    </xf>
    <xf numFmtId="0" fontId="2" fillId="4" borderId="0" xfId="0" applyFont="1" applyFill="1"/>
    <xf numFmtId="0" fontId="32" fillId="4" borderId="0" xfId="0" applyFont="1" applyFill="1" applyAlignment="1"/>
    <xf numFmtId="0" fontId="32" fillId="4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4" fillId="4" borderId="0" xfId="0" applyFont="1" applyFill="1"/>
    <xf numFmtId="49" fontId="2" fillId="4" borderId="0" xfId="0" applyNumberFormat="1" applyFont="1" applyFill="1"/>
    <xf numFmtId="0" fontId="33" fillId="4" borderId="0" xfId="0" applyFont="1" applyFill="1"/>
    <xf numFmtId="0" fontId="2" fillId="4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7" fillId="6" borderId="4" xfId="0" applyFont="1" applyFill="1" applyBorder="1" applyAlignment="1">
      <alignment horizontal="left"/>
    </xf>
    <xf numFmtId="0" fontId="10" fillId="7" borderId="9" xfId="0" applyFont="1" applyFill="1" applyBorder="1" applyAlignment="1">
      <alignment horizontal="center"/>
    </xf>
    <xf numFmtId="0" fontId="0" fillId="0" borderId="0" xfId="0" applyFont="1" applyAlignment="1"/>
    <xf numFmtId="0" fontId="11" fillId="12" borderId="12" xfId="0" applyFont="1" applyFill="1" applyBorder="1" applyAlignment="1">
      <alignment horizontal="right"/>
    </xf>
    <xf numFmtId="0" fontId="0" fillId="12" borderId="12" xfId="0" applyFont="1" applyFill="1" applyBorder="1" applyAlignment="1">
      <alignment horizontal="left"/>
    </xf>
    <xf numFmtId="0" fontId="4" fillId="12" borderId="12" xfId="0" applyFont="1" applyFill="1" applyBorder="1"/>
    <xf numFmtId="0" fontId="9" fillId="12" borderId="12" xfId="0" applyFont="1" applyFill="1" applyBorder="1" applyAlignment="1">
      <alignment horizontal="right"/>
    </xf>
    <xf numFmtId="0" fontId="10" fillId="13" borderId="12" xfId="0" applyFont="1" applyFill="1" applyBorder="1" applyAlignment="1">
      <alignment horizontal="center"/>
    </xf>
    <xf numFmtId="0" fontId="36" fillId="14" borderId="12" xfId="0" applyFont="1" applyFill="1" applyBorder="1" applyAlignment="1">
      <alignment horizontal="center" vertical="center"/>
    </xf>
    <xf numFmtId="0" fontId="0" fillId="0" borderId="0" xfId="0" applyFont="1" applyAlignment="1"/>
    <xf numFmtId="0" fontId="11" fillId="0" borderId="9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left"/>
    </xf>
    <xf numFmtId="0" fontId="4" fillId="0" borderId="9" xfId="0" applyFont="1" applyFill="1" applyBorder="1"/>
    <xf numFmtId="0" fontId="9" fillId="0" borderId="9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center"/>
    </xf>
    <xf numFmtId="0" fontId="36" fillId="0" borderId="12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/>
    <xf numFmtId="0" fontId="0" fillId="0" borderId="0" xfId="0" applyFont="1" applyFill="1" applyAlignment="1"/>
    <xf numFmtId="0" fontId="6" fillId="0" borderId="9" xfId="0" applyFont="1" applyFill="1" applyBorder="1"/>
    <xf numFmtId="0" fontId="5" fillId="0" borderId="9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0" fillId="0" borderId="12" xfId="0" applyFont="1" applyFill="1" applyBorder="1" applyAlignment="1">
      <alignment horizontal="left"/>
    </xf>
    <xf numFmtId="0" fontId="4" fillId="0" borderId="12" xfId="0" applyFont="1" applyFill="1" applyBorder="1"/>
    <xf numFmtId="0" fontId="9" fillId="0" borderId="12" xfId="0" applyFont="1" applyFill="1" applyBorder="1" applyAlignment="1">
      <alignment horizontal="right"/>
    </xf>
    <xf numFmtId="0" fontId="10" fillId="0" borderId="12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center"/>
    </xf>
    <xf numFmtId="0" fontId="36" fillId="0" borderId="18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 wrapText="1"/>
    </xf>
    <xf numFmtId="0" fontId="10" fillId="15" borderId="10" xfId="0" applyFont="1" applyFill="1" applyBorder="1" applyAlignment="1">
      <alignment horizontal="center"/>
    </xf>
    <xf numFmtId="0" fontId="4" fillId="14" borderId="0" xfId="0" applyFont="1" applyFill="1"/>
    <xf numFmtId="0" fontId="4" fillId="14" borderId="0" xfId="0" applyFont="1" applyFill="1" applyAlignment="1"/>
    <xf numFmtId="0" fontId="0" fillId="14" borderId="0" xfId="0" applyFont="1" applyFill="1" applyAlignment="1"/>
    <xf numFmtId="0" fontId="38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1" fillId="12" borderId="6" xfId="0" applyFont="1" applyFill="1" applyBorder="1" applyAlignment="1">
      <alignment horizontal="right"/>
    </xf>
    <xf numFmtId="0" fontId="10" fillId="13" borderId="7" xfId="0" applyFont="1" applyFill="1" applyBorder="1" applyAlignment="1">
      <alignment horizontal="center"/>
    </xf>
    <xf numFmtId="0" fontId="36" fillId="14" borderId="18" xfId="0" applyFont="1" applyFill="1" applyBorder="1" applyAlignment="1">
      <alignment horizontal="center" vertical="center"/>
    </xf>
    <xf numFmtId="0" fontId="0" fillId="0" borderId="0" xfId="0" applyFont="1" applyAlignment="1"/>
    <xf numFmtId="0" fontId="39" fillId="0" borderId="0" xfId="0" applyFont="1" applyAlignment="1">
      <alignment horizont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4" xfId="0" applyFont="1" applyBorder="1"/>
    <xf numFmtId="0" fontId="10" fillId="16" borderId="7" xfId="0" applyFont="1" applyFill="1" applyBorder="1" applyAlignment="1">
      <alignment horizontal="center"/>
    </xf>
  </cellXfs>
  <cellStyles count="1">
    <cellStyle name="normální" xfId="0" builtinId="0"/>
  </cellStyles>
  <dxfs count="99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49">
    <tableStyle name="Responses-style" pivot="0" count="3">
      <tableStyleElement type="headerRow" dxfId="98"/>
      <tableStyleElement type="firstRowStripe" dxfId="97"/>
      <tableStyleElement type="secondRowStripe" dxfId="96"/>
    </tableStyle>
    <tableStyle name="KVV po třídách - odtud brát pro-style" pivot="0" count="2">
      <tableStyleElement type="firstRowStripe" dxfId="95"/>
      <tableStyleElement type="secondRowStripe" dxfId="94"/>
    </tableStyle>
    <tableStyle name="KVV po třídách - odtud brát pro-style 2" pivot="0" count="2">
      <tableStyleElement type="firstRowStripe" dxfId="93"/>
      <tableStyleElement type="secondRowStripe" dxfId="92"/>
    </tableStyle>
    <tableStyle name="KVV po třídách - odtud brát pro-style 3" pivot="0" count="2">
      <tableStyleElement type="firstRowStripe" dxfId="91"/>
      <tableStyleElement type="secondRowStripe" dxfId="90"/>
    </tableStyle>
    <tableStyle name="KVV po třídách - odtud brát pro-style 4" pivot="0" count="2">
      <tableStyleElement type="firstRowStripe" dxfId="89"/>
      <tableStyleElement type="secondRowStripe" dxfId="88"/>
    </tableStyle>
    <tableStyle name="KVV po třídách - odtud brát pro-style 5" pivot="0" count="2">
      <tableStyleElement type="firstRowStripe" dxfId="87"/>
      <tableStyleElement type="secondRowStripe" dxfId="86"/>
    </tableStyle>
    <tableStyle name="KVV po třídách - odtud brát pro-style 6" pivot="0" count="2">
      <tableStyleElement type="firstRowStripe" dxfId="85"/>
      <tableStyleElement type="secondRowStripe" dxfId="84"/>
    </tableStyle>
    <tableStyle name="KVV po třídách - odtud brát pro-style 7" pivot="0" count="2">
      <tableStyleElement type="firstRowStripe" dxfId="83"/>
      <tableStyleElement type="secondRowStripe" dxfId="82"/>
    </tableStyle>
    <tableStyle name="KVV po třídách - odtud brát pro-style 8" pivot="0" count="2">
      <tableStyleElement type="firstRowStripe" dxfId="81"/>
      <tableStyleElement type="secondRowStripe" dxfId="80"/>
    </tableStyle>
    <tableStyle name="KVV po třídách - odtud brát pro-style 9" pivot="0" count="2">
      <tableStyleElement type="firstRowStripe" dxfId="79"/>
      <tableStyleElement type="secondRowStripe" dxfId="78"/>
    </tableStyle>
    <tableStyle name="KVV po třídách - odtud brát pro-style 10" pivot="0" count="2">
      <tableStyleElement type="firstRowStripe" dxfId="77"/>
      <tableStyleElement type="secondRowStripe" dxfId="76"/>
    </tableStyle>
    <tableStyle name="KVV po třídách - odtud brát pro-style 11" pivot="0" count="2">
      <tableStyleElement type="firstRowStripe" dxfId="75"/>
      <tableStyleElement type="secondRowStripe" dxfId="74"/>
    </tableStyle>
    <tableStyle name="KVV po třídách - odtud brát pro-style 12" pivot="0" count="2">
      <tableStyleElement type="firstRowStripe" dxfId="73"/>
      <tableStyleElement type="secondRowStripe" dxfId="72"/>
    </tableStyle>
    <tableStyle name="KVV po třídách - odtud brát pro-style 13" pivot="0" count="2">
      <tableStyleElement type="firstRowStripe" dxfId="71"/>
      <tableStyleElement type="secondRowStripe" dxfId="70"/>
    </tableStyle>
    <tableStyle name="KVV po třídách - odtud brát pro-style 14" pivot="0" count="2">
      <tableStyleElement type="firstRowStripe" dxfId="69"/>
      <tableStyleElement type="secondRowStripe" dxfId="68"/>
    </tableStyle>
    <tableStyle name="KVV po třídách - odtud brát pro-style 15" pivot="0" count="2">
      <tableStyleElement type="firstRowStripe" dxfId="67"/>
      <tableStyleElement type="secondRowStripe" dxfId="66"/>
    </tableStyle>
    <tableStyle name="KVV po třídách - odtud brát pro-style 16" pivot="0" count="2">
      <tableStyleElement type="firstRowStripe" dxfId="65"/>
      <tableStyleElement type="secondRowStripe" dxfId="64"/>
    </tableStyle>
    <tableStyle name="KVV po třídách - odtud brát pro-style 17" pivot="0" count="2">
      <tableStyleElement type="firstRowStripe" dxfId="63"/>
      <tableStyleElement type="secondRowStripe" dxfId="62"/>
    </tableStyle>
    <tableStyle name="KVV po třídách - odtud brát pro-style 18" pivot="0" count="2">
      <tableStyleElement type="firstRowStripe" dxfId="61"/>
      <tableStyleElement type="secondRowStripe" dxfId="60"/>
    </tableStyle>
    <tableStyle name="KVV po třídách - odtud brát pro-style 19" pivot="0" count="2">
      <tableStyleElement type="firstRowStripe" dxfId="59"/>
      <tableStyleElement type="secondRowStripe" dxfId="58"/>
    </tableStyle>
    <tableStyle name="KVV po třídách - odtud brát pro-style 20" pivot="0" count="2">
      <tableStyleElement type="firstRowStripe" dxfId="57"/>
      <tableStyleElement type="secondRowStripe" dxfId="56"/>
    </tableStyle>
    <tableStyle name="KVV po třídách - odtud brát pro-style 21" pivot="0" count="2">
      <tableStyleElement type="firstRowStripe" dxfId="55"/>
      <tableStyleElement type="secondRowStripe" dxfId="54"/>
    </tableStyle>
    <tableStyle name="KVV po třídách - odtud brát pro-style 22" pivot="0" count="2">
      <tableStyleElement type="firstRowStripe" dxfId="53"/>
      <tableStyleElement type="secondRowStripe" dxfId="52"/>
    </tableStyle>
    <tableStyle name="Psi-style" pivot="0" count="2">
      <tableStyleElement type="firstRowStripe" dxfId="51"/>
      <tableStyleElement type="secondRowStripe" dxfId="50"/>
    </tableStyle>
    <tableStyle name="Feny-style" pivot="0" count="2">
      <tableStyleElement type="firstRowStripe" dxfId="49"/>
      <tableStyleElement type="secondRowStripe" dxfId="48"/>
    </tableStyle>
    <tableStyle name="Seznam majitelů-style" pivot="0" count="2">
      <tableStyleElement type="firstRowStripe" dxfId="47"/>
      <tableStyleElement type="secondRowStripe" dxfId="46"/>
    </tableStyle>
    <tableStyle name="Plemeníci-style" pivot="0" count="2">
      <tableStyleElement type="firstRowStripe" dxfId="45"/>
      <tableStyleElement type="secondRowStripe" dxfId="44"/>
    </tableStyle>
    <tableStyle name="Plemeníci-style 2" pivot="0" count="2">
      <tableStyleElement type="firstRowStripe" dxfId="43"/>
      <tableStyleElement type="secondRowStripe" dxfId="42"/>
    </tableStyle>
    <tableStyle name="Plemeníci-style 3" pivot="0" count="2">
      <tableStyleElement type="firstRowStripe" dxfId="41"/>
      <tableStyleElement type="secondRowStripe" dxfId="40"/>
    </tableStyle>
    <tableStyle name="Plemeníci-style 4" pivot="0" count="2">
      <tableStyleElement type="firstRowStripe" dxfId="39"/>
      <tableStyleElement type="secondRowStripe" dxfId="38"/>
    </tableStyle>
    <tableStyle name="Plemeníci-style 5" pivot="0" count="2">
      <tableStyleElement type="firstRowStripe" dxfId="37"/>
      <tableStyleElement type="secondRowStripe" dxfId="36"/>
    </tableStyle>
    <tableStyle name="Plemeníci-style 6" pivot="0" count="2">
      <tableStyleElement type="firstRowStripe" dxfId="35"/>
      <tableStyleElement type="secondRowStripe" dxfId="34"/>
    </tableStyle>
    <tableStyle name="Plemeníci-style 7" pivot="0" count="2">
      <tableStyleElement type="firstRowStripe" dxfId="33"/>
      <tableStyleElement type="secondRowStripe" dxfId="32"/>
    </tableStyle>
    <tableStyle name="Plemeníci-style 8" pivot="0" count="2">
      <tableStyleElement type="firstRowStripe" dxfId="31"/>
      <tableStyleElement type="secondRowStripe" dxfId="30"/>
    </tableStyle>
    <tableStyle name="Plemeníci-style 9" pivot="0" count="2">
      <tableStyleElement type="firstRowStripe" dxfId="29"/>
      <tableStyleElement type="secondRowStripe" dxfId="28"/>
    </tableStyle>
    <tableStyle name="Plemeníci-style 10" pivot="0" count="2">
      <tableStyleElement type="firstRowStripe" dxfId="27"/>
      <tableStyleElement type="secondRowStripe" dxfId="26"/>
    </tableStyle>
    <tableStyle name="Plemeníci-style 11" pivot="0" count="2">
      <tableStyleElement type="firstRowStripe" dxfId="25"/>
      <tableStyleElement type="secondRowStripe" dxfId="24"/>
    </tableStyle>
    <tableStyle name="Plemeníci-style 12" pivot="0" count="2">
      <tableStyleElement type="firstRowStripe" dxfId="23"/>
      <tableStyleElement type="secondRowStripe" dxfId="22"/>
    </tableStyle>
    <tableStyle name="Plemeníci-style 13" pivot="0" count="2">
      <tableStyleElement type="firstRowStripe" dxfId="21"/>
      <tableStyleElement type="secondRowStripe" dxfId="20"/>
    </tableStyle>
    <tableStyle name="Plemeníci-style 14" pivot="0" count="2">
      <tableStyleElement type="firstRowStripe" dxfId="19"/>
      <tableStyleElement type="secondRowStripe" dxfId="18"/>
    </tableStyle>
    <tableStyle name="Plemeníci-style 15" pivot="0" count="2">
      <tableStyleElement type="firstRowStripe" dxfId="17"/>
      <tableStyleElement type="secondRowStripe" dxfId="16"/>
    </tableStyle>
    <tableStyle name="Plemeníci-style 16" pivot="0" count="2">
      <tableStyleElement type="firstRowStripe" dxfId="15"/>
      <tableStyleElement type="secondRowStripe" dxfId="14"/>
    </tableStyle>
    <tableStyle name="Plemeníci-style 17" pivot="0" count="2">
      <tableStyleElement type="firstRowStripe" dxfId="13"/>
      <tableStyleElement type="secondRowStripe" dxfId="12"/>
    </tableStyle>
    <tableStyle name="Plemeníci-style 18" pivot="0" count="2">
      <tableStyleElement type="firstRowStripe" dxfId="11"/>
      <tableStyleElement type="secondRowStripe" dxfId="10"/>
    </tableStyle>
    <tableStyle name="Plemeníci-style 19" pivot="0" count="2">
      <tableStyleElement type="firstRowStripe" dxfId="9"/>
      <tableStyleElement type="secondRowStripe" dxfId="8"/>
    </tableStyle>
    <tableStyle name="Plemeníci-style 20" pivot="0" count="2">
      <tableStyleElement type="firstRowStripe" dxfId="7"/>
      <tableStyleElement type="secondRowStripe" dxfId="6"/>
    </tableStyle>
    <tableStyle name="Plemeníci-style 21" pivot="0" count="2">
      <tableStyleElement type="firstRowStripe" dxfId="5"/>
      <tableStyleElement type="secondRowStripe" dxfId="4"/>
    </tableStyle>
    <tableStyle name="Plemeníci-style 22" pivot="0" count="2">
      <tableStyleElement type="firstRowStripe" dxfId="3"/>
      <tableStyleElement type="secondRowStripe" dxfId="2"/>
    </tableStyle>
    <tableStyle name="CACIT závodníci-style" pivot="0" count="2">
      <tableStyleElement type="firstRowStripe" dxfId="1"/>
      <tableStyleElement type="secondRowStripe" dxfId="0"/>
    </tableStyle>
  </tableStyles>
  <colors>
    <mruColors>
      <color rgb="FFF0A8C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_2" displayName="Table_2" ref="A66:BL78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" showFirstColumn="1" showLastColumn="1" showRowStripes="1" showColumnStripes="0"/>
</table>
</file>

<file path=xl/tables/table10.xml><?xml version="1.0" encoding="utf-8"?>
<table xmlns="http://schemas.openxmlformats.org/spreadsheetml/2006/main" id="11" name="Table_11" displayName="Table_11" ref="A21:BL36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10" showFirstColumn="1" showLastColumn="1" showRowStripes="1" showColumnStripes="0"/>
</table>
</file>

<file path=xl/tables/table11.xml><?xml version="1.0" encoding="utf-8"?>
<table xmlns="http://schemas.openxmlformats.org/spreadsheetml/2006/main" id="12" name="Table_12" displayName="Table_12" ref="A14:BL14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11" showFirstColumn="1" showLastColumn="1" showRowStripes="1" showColumnStripes="0"/>
</table>
</file>

<file path=xl/tables/table12.xml><?xml version="1.0" encoding="utf-8"?>
<table xmlns="http://schemas.openxmlformats.org/spreadsheetml/2006/main" id="13" name="Table_13" displayName="Table_13" ref="A4:BL11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12" showFirstColumn="1" showLastColumn="1" showRowStripes="1" showColumnStripes="0"/>
</table>
</file>

<file path=xl/tables/table13.xml><?xml version="1.0" encoding="utf-8"?>
<table xmlns="http://schemas.openxmlformats.org/spreadsheetml/2006/main" id="14" name="Table_14" displayName="Table_14" ref="A115:BL117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13" showFirstColumn="1" showLastColumn="1" showRowStripes="1" showColumnStripes="0"/>
</table>
</file>

<file path=xl/tables/table14.xml><?xml version="1.0" encoding="utf-8"?>
<table xmlns="http://schemas.openxmlformats.org/spreadsheetml/2006/main" id="15" name="Table_15" displayName="Table_15" ref="A101:BL112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14" showFirstColumn="1" showLastColumn="1" showRowStripes="1" showColumnStripes="0"/>
</table>
</file>

<file path=xl/tables/table15.xml><?xml version="1.0" encoding="utf-8"?>
<table xmlns="http://schemas.openxmlformats.org/spreadsheetml/2006/main" id="16" name="Table_16" displayName="Table_16" ref="A122:BL131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15" showFirstColumn="1" showLastColumn="1" showRowStripes="1" showColumnStripes="0"/>
</table>
</file>

<file path=xl/tables/table16.xml><?xml version="1.0" encoding="utf-8"?>
<table xmlns="http://schemas.openxmlformats.org/spreadsheetml/2006/main" id="17" name="Table_17" displayName="Table_17" ref="A142:BL160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16" showFirstColumn="1" showLastColumn="1" showRowStripes="1" showColumnStripes="0"/>
</table>
</file>

<file path=xl/tables/table17.xml><?xml version="1.0" encoding="utf-8"?>
<table xmlns="http://schemas.openxmlformats.org/spreadsheetml/2006/main" id="18" name="Table_18" displayName="Table_18" ref="A196:BL199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17" showFirstColumn="1" showLastColumn="1" showRowStripes="1" showColumnStripes="0"/>
</table>
</file>

<file path=xl/tables/table18.xml><?xml version="1.0" encoding="utf-8"?>
<table xmlns="http://schemas.openxmlformats.org/spreadsheetml/2006/main" id="19" name="Table_19" displayName="Table_19" ref="A265:BL265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18" showFirstColumn="1" showLastColumn="1" showRowStripes="1" showColumnStripes="0"/>
</table>
</file>

<file path=xl/tables/table19.xml><?xml version="1.0" encoding="utf-8"?>
<table xmlns="http://schemas.openxmlformats.org/spreadsheetml/2006/main" id="20" name="Table_20" displayName="Table_20" ref="A259:BL262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19" showFirstColumn="1" showLastColumn="1" showRowStripes="1" showColumnStripes="0"/>
</table>
</file>

<file path=xl/tables/table2.xml><?xml version="1.0" encoding="utf-8"?>
<table xmlns="http://schemas.openxmlformats.org/spreadsheetml/2006/main" id="3" name="Table_3" displayName="Table_3" ref="A59:BL60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2" showFirstColumn="1" showLastColumn="1" showRowStripes="1" showColumnStripes="0"/>
</table>
</file>

<file path=xl/tables/table20.xml><?xml version="1.0" encoding="utf-8"?>
<table xmlns="http://schemas.openxmlformats.org/spreadsheetml/2006/main" id="21" name="Table_21" displayName="Table_21" ref="A94:BL97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20" showFirstColumn="1" showLastColumn="1" showRowStripes="1" showColumnStripes="0"/>
</table>
</file>

<file path=xl/tables/table21.xml><?xml version="1.0" encoding="utf-8"?>
<table xmlns="http://schemas.openxmlformats.org/spreadsheetml/2006/main" id="22" name="Table_22" displayName="Table_22" ref="A203:BL230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21" showFirstColumn="1" showLastColumn="1" showRowStripes="1" showColumnStripes="0"/>
</table>
</file>

<file path=xl/tables/table22.xml><?xml version="1.0" encoding="utf-8"?>
<table xmlns="http://schemas.openxmlformats.org/spreadsheetml/2006/main" id="23" name="Table_23" displayName="Table_23" ref="A170:BL194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22" showFirstColumn="1" showLastColumn="1" showRowStripes="1" showColumnStripes="0"/>
</table>
</file>

<file path=xl/tables/table23.xml><?xml version="1.0" encoding="utf-8"?>
<table xmlns="http://schemas.openxmlformats.org/spreadsheetml/2006/main" id="24" name="Table_24" displayName="Table_24" ref="A1:BK72" headerRowCount="0">
  <tableColumns count="63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</tableColumns>
  <tableStyleInfo name="Psi-style" showFirstColumn="1" showLastColumn="1" showRowStripes="1" showColumnStripes="0"/>
</table>
</file>

<file path=xl/tables/table24.xml><?xml version="1.0" encoding="utf-8"?>
<table xmlns="http://schemas.openxmlformats.org/spreadsheetml/2006/main" id="25" name="Table_25" displayName="Table_25" ref="A1:BK105" headerRowCount="0">
  <tableColumns count="63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</tableColumns>
  <tableStyleInfo name="Feny-style" showFirstColumn="1" showLastColumn="1" showRowStripes="1" showColumnStripes="0"/>
</table>
</file>

<file path=xl/tables/table3.xml><?xml version="1.0" encoding="utf-8"?>
<table xmlns="http://schemas.openxmlformats.org/spreadsheetml/2006/main" id="4" name="Table_4" displayName="Table_4" ref="A48:BL56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3" showFirstColumn="1" showLastColumn="1" showRowStripes="1" showColumnStripes="0"/>
</table>
</file>

<file path=xl/tables/table4.xml><?xml version="1.0" encoding="utf-8"?>
<table xmlns="http://schemas.openxmlformats.org/spreadsheetml/2006/main" id="5" name="Table_5" displayName="Table_5" ref="A251:BL251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4" showFirstColumn="1" showLastColumn="1" showRowStripes="1" showColumnStripes="0"/>
</table>
</file>

<file path=xl/tables/table5.xml><?xml version="1.0" encoding="utf-8"?>
<table xmlns="http://schemas.openxmlformats.org/spreadsheetml/2006/main" id="6" name="Table_6" displayName="Table_6" ref="A235:BL239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5" showFirstColumn="1" showLastColumn="1" showRowStripes="1" showColumnStripes="0"/>
</table>
</file>

<file path=xl/tables/table6.xml><?xml version="1.0" encoding="utf-8"?>
<table xmlns="http://schemas.openxmlformats.org/spreadsheetml/2006/main" id="7" name="Table_7" displayName="Table_7" ref="A241:BL245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6" showFirstColumn="1" showLastColumn="1" showRowStripes="1" showColumnStripes="0"/>
</table>
</file>

<file path=xl/tables/table7.xml><?xml version="1.0" encoding="utf-8"?>
<table xmlns="http://schemas.openxmlformats.org/spreadsheetml/2006/main" id="8" name="Table_8" displayName="Table_8" ref="A88:BL91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7" showFirstColumn="1" showLastColumn="1" showRowStripes="1" showColumnStripes="0"/>
</table>
</file>

<file path=xl/tables/table8.xml><?xml version="1.0" encoding="utf-8"?>
<table xmlns="http://schemas.openxmlformats.org/spreadsheetml/2006/main" id="9" name="Table_9" displayName="Table_9" ref="A80:BL81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8" showFirstColumn="1" showLastColumn="1" showRowStripes="1" showColumnStripes="0"/>
</table>
</file>

<file path=xl/tables/table9.xml><?xml version="1.0" encoding="utf-8"?>
<table xmlns="http://schemas.openxmlformats.org/spreadsheetml/2006/main" id="10" name="Table_10" displayName="Table_10" ref="A40:BL41" headerRowCount="0">
  <tableColumns count="6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  <tableColumn id="43" name="Column43"/>
    <tableColumn id="44" name="Column4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Column54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Column64"/>
  </tableColumns>
  <tableStyleInfo name="KVV po třídách - odtud brát pro-style 9" showFirstColumn="1" showLastColumn="1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593"/>
  <sheetViews>
    <sheetView tabSelected="1" zoomScale="80" zoomScaleNormal="80" workbookViewId="0">
      <selection activeCell="H286" sqref="H286"/>
    </sheetView>
  </sheetViews>
  <sheetFormatPr defaultColWidth="14.42578125" defaultRowHeight="15.75" customHeight="1"/>
  <cols>
    <col min="1" max="1" width="18.5703125" customWidth="1"/>
    <col min="5" max="5" width="26.5703125" customWidth="1"/>
  </cols>
  <sheetData>
    <row r="1" spans="1:26" s="254" customFormat="1" ht="42" customHeight="1">
      <c r="A1" s="260" t="s">
        <v>1785</v>
      </c>
      <c r="B1" s="260"/>
      <c r="C1" s="260"/>
      <c r="D1" s="260"/>
      <c r="E1" s="260"/>
      <c r="F1" s="260"/>
    </row>
    <row r="2" spans="1:26" ht="27" customHeight="1">
      <c r="A2" s="269" t="s">
        <v>1352</v>
      </c>
      <c r="B2" s="270"/>
      <c r="C2" s="270"/>
      <c r="D2" s="270"/>
      <c r="E2" s="270"/>
      <c r="F2" s="218" t="s">
        <v>1719</v>
      </c>
      <c r="G2" s="2"/>
      <c r="H2" s="2" t="s">
        <v>1786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228" customFormat="1" ht="12.75" customHeight="1">
      <c r="A3" s="3" t="s">
        <v>1353</v>
      </c>
      <c r="B3" s="20" t="str">
        <f>VLOOKUP(J4,data!C:AQ,16,0)</f>
        <v>Morris</v>
      </c>
      <c r="C3" s="5"/>
      <c r="D3" s="6" t="s">
        <v>1354</v>
      </c>
      <c r="E3" s="7" t="str">
        <f>VLOOKUP(J4,data!C:AQ,17,0)</f>
        <v>Hartis Bohemia</v>
      </c>
      <c r="F3" s="267" t="s">
        <v>1760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228" customFormat="1" ht="27.75" customHeight="1">
      <c r="A4" s="16" t="s">
        <v>1355</v>
      </c>
      <c r="B4" s="9" t="str">
        <f>VLOOKUP(J4,data!C:AQ,28,0)</f>
        <v>Ryneš Ctibor</v>
      </c>
      <c r="C4" s="10"/>
      <c r="D4" s="11" t="s">
        <v>1356</v>
      </c>
      <c r="E4" s="12">
        <f>VLOOKUP(J4,data!C:D,2,0)</f>
        <v>10</v>
      </c>
      <c r="F4" s="268"/>
      <c r="G4" s="2"/>
      <c r="H4" s="2"/>
      <c r="I4" s="2"/>
      <c r="J4" s="216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237" customFormat="1" ht="4.5" customHeight="1">
      <c r="A5" s="240"/>
      <c r="B5" s="241"/>
      <c r="C5" s="242"/>
      <c r="D5" s="243"/>
      <c r="E5" s="244"/>
      <c r="F5" s="234"/>
      <c r="G5" s="235"/>
      <c r="H5" s="235"/>
      <c r="I5" s="235"/>
      <c r="J5" s="236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</row>
    <row r="6" spans="1:26" s="228" customFormat="1" ht="12.75" customHeight="1">
      <c r="A6" s="3" t="s">
        <v>1353</v>
      </c>
      <c r="B6" s="20" t="str">
        <f>VLOOKUP(J7,data!C:AQ,16,0)</f>
        <v>Falco</v>
      </c>
      <c r="C6" s="5"/>
      <c r="D6" s="6" t="s">
        <v>1354</v>
      </c>
      <c r="E6" s="7" t="str">
        <f>VLOOKUP(J7,data!C:AQ,17,0)</f>
        <v>Bestia Rapax</v>
      </c>
      <c r="F6" s="267" t="s">
        <v>1766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228" customFormat="1" ht="27.75" customHeight="1">
      <c r="A7" s="16" t="s">
        <v>1355</v>
      </c>
      <c r="B7" s="9" t="str">
        <f>VLOOKUP(J7,data!C:AQ,28,0)</f>
        <v>Vinšová Vladimíra</v>
      </c>
      <c r="C7" s="10"/>
      <c r="D7" s="11" t="s">
        <v>1356</v>
      </c>
      <c r="E7" s="12">
        <f>VLOOKUP(J7,data!C:D,2,0)</f>
        <v>6</v>
      </c>
      <c r="F7" s="268"/>
      <c r="G7" s="2"/>
      <c r="H7" s="2"/>
      <c r="I7" s="2"/>
      <c r="J7" s="216">
        <v>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237" customFormat="1" ht="4.5" customHeight="1">
      <c r="A8" s="240"/>
      <c r="B8" s="241"/>
      <c r="C8" s="242"/>
      <c r="D8" s="243"/>
      <c r="E8" s="244"/>
      <c r="F8" s="234"/>
      <c r="G8" s="235"/>
      <c r="H8" s="235"/>
      <c r="I8" s="235"/>
      <c r="J8" s="236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</row>
    <row r="9" spans="1:26" s="237" customFormat="1" ht="12.75" customHeight="1">
      <c r="A9" s="3" t="s">
        <v>1353</v>
      </c>
      <c r="B9" s="20" t="str">
        <f>VLOOKUP(J10,data!C:AQ,16,0)</f>
        <v>Nemo</v>
      </c>
      <c r="C9" s="5"/>
      <c r="D9" s="6" t="s">
        <v>1354</v>
      </c>
      <c r="E9" s="7" t="str">
        <f>VLOOKUP(J10,data!C:AQ,17,0)</f>
        <v>Mir-Jar</v>
      </c>
      <c r="F9" s="265" t="s">
        <v>1754</v>
      </c>
      <c r="G9" s="235"/>
      <c r="H9" s="235"/>
      <c r="I9" s="235"/>
      <c r="J9" s="236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</row>
    <row r="10" spans="1:26" s="237" customFormat="1" ht="12.75" customHeight="1">
      <c r="A10" s="16" t="s">
        <v>1355</v>
      </c>
      <c r="B10" s="9" t="str">
        <f>VLOOKUP(J10,data!C:AQ,28,0)</f>
        <v>Anderle Jaromír</v>
      </c>
      <c r="C10" s="10"/>
      <c r="D10" s="11" t="s">
        <v>1356</v>
      </c>
      <c r="E10" s="12">
        <f>VLOOKUP(J10,data!C:D,2,0)</f>
        <v>11</v>
      </c>
      <c r="F10" s="266"/>
      <c r="G10" s="235"/>
      <c r="H10" s="235"/>
      <c r="I10" s="235"/>
      <c r="J10" s="236">
        <v>11</v>
      </c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</row>
    <row r="11" spans="1:26" s="252" customFormat="1" ht="4.5" customHeight="1">
      <c r="A11" s="256"/>
      <c r="B11" s="223"/>
      <c r="C11" s="224"/>
      <c r="D11" s="225"/>
      <c r="E11" s="257"/>
      <c r="F11" s="258"/>
      <c r="G11" s="250"/>
      <c r="H11" s="250"/>
      <c r="I11" s="250"/>
      <c r="J11" s="251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</row>
    <row r="12" spans="1:26" s="228" customFormat="1" ht="12.75" customHeight="1">
      <c r="A12" s="3" t="s">
        <v>1353</v>
      </c>
      <c r="B12" s="20" t="str">
        <f>VLOOKUP(J13,data!C:AQ,16,0)</f>
        <v>Simonn</v>
      </c>
      <c r="C12" s="5"/>
      <c r="D12" s="6" t="s">
        <v>1354</v>
      </c>
      <c r="E12" s="7" t="str">
        <f>VLOOKUP(J13,data!C:AQ,17,0)</f>
        <v>Ornis-Bohemia</v>
      </c>
      <c r="F12" s="265" t="s">
        <v>1763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228" customFormat="1" ht="15.75" customHeight="1">
      <c r="A13" s="16" t="s">
        <v>1355</v>
      </c>
      <c r="B13" s="9" t="str">
        <f>VLOOKUP(J13,data!C:AQ,28,0)</f>
        <v>Podkovičáková Věra</v>
      </c>
      <c r="C13" s="10"/>
      <c r="D13" s="11" t="s">
        <v>1356</v>
      </c>
      <c r="E13" s="12">
        <f>VLOOKUP(J13,data!C:D,2,0)</f>
        <v>17</v>
      </c>
      <c r="F13" s="266"/>
      <c r="G13" s="2"/>
      <c r="H13" s="2"/>
      <c r="I13" s="2"/>
      <c r="J13" s="216">
        <v>17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237" customFormat="1" ht="4.5" customHeight="1">
      <c r="A14" s="240"/>
      <c r="B14" s="241"/>
      <c r="C14" s="242"/>
      <c r="D14" s="243"/>
      <c r="E14" s="244"/>
      <c r="F14" s="234"/>
      <c r="G14" s="235"/>
      <c r="H14" s="235"/>
      <c r="I14" s="235"/>
      <c r="J14" s="236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</row>
    <row r="15" spans="1:26" s="228" customFormat="1" ht="12.75" customHeight="1">
      <c r="A15" s="3" t="s">
        <v>1353</v>
      </c>
      <c r="B15" s="20" t="str">
        <f>VLOOKUP(J16,data!C:AQ,16,0)</f>
        <v>Thor</v>
      </c>
      <c r="C15" s="5"/>
      <c r="D15" s="6" t="s">
        <v>1354</v>
      </c>
      <c r="E15" s="7" t="str">
        <f>VLOOKUP(J16,data!C:AQ,17,0)</f>
        <v>vom Funken Spiel</v>
      </c>
      <c r="F15" s="265" t="s">
        <v>1768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228" customFormat="1" ht="15.75" customHeight="1">
      <c r="A16" s="16" t="s">
        <v>1355</v>
      </c>
      <c r="B16" s="9" t="str">
        <f>VLOOKUP(J16,data!C:AQ,28,0)</f>
        <v>Smětalová Martina</v>
      </c>
      <c r="C16" s="10"/>
      <c r="D16" s="11" t="s">
        <v>1356</v>
      </c>
      <c r="E16" s="12">
        <f>VLOOKUP(J16,data!C:D,2,0)</f>
        <v>19</v>
      </c>
      <c r="F16" s="266"/>
      <c r="G16" s="2"/>
      <c r="H16" s="2"/>
      <c r="I16" s="2"/>
      <c r="J16" s="216">
        <v>19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237" customFormat="1" ht="4.5" customHeight="1">
      <c r="A17" s="240"/>
      <c r="B17" s="241"/>
      <c r="C17" s="242"/>
      <c r="D17" s="243"/>
      <c r="E17" s="244"/>
      <c r="F17" s="234"/>
      <c r="G17" s="235"/>
      <c r="H17" s="235"/>
      <c r="I17" s="235"/>
      <c r="J17" s="236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</row>
    <row r="18" spans="1:26" s="228" customFormat="1" ht="12.75" customHeight="1">
      <c r="A18" s="3" t="s">
        <v>1353</v>
      </c>
      <c r="B18" s="20" t="str">
        <f>VLOOKUP(J19,data!C:AQ,16,0)</f>
        <v>Saymon</v>
      </c>
      <c r="C18" s="5"/>
      <c r="D18" s="6" t="s">
        <v>1354</v>
      </c>
      <c r="E18" s="7" t="str">
        <f>VLOOKUP(J19,data!C:AQ,17,0)</f>
        <v>ze Sedkaru</v>
      </c>
      <c r="F18" s="265" t="s">
        <v>1764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228" customFormat="1" ht="15.75" customHeight="1">
      <c r="A19" s="16" t="s">
        <v>1355</v>
      </c>
      <c r="B19" s="9" t="str">
        <f>VLOOKUP(J19,data!C:AQ,28,0)</f>
        <v>Sedlák Karel</v>
      </c>
      <c r="C19" s="10"/>
      <c r="D19" s="11" t="s">
        <v>1356</v>
      </c>
      <c r="E19" s="12">
        <f>VLOOKUP(J19,data!C:D,2,0)</f>
        <v>16</v>
      </c>
      <c r="F19" s="266"/>
      <c r="G19" s="2"/>
      <c r="H19" s="2"/>
      <c r="I19" s="2"/>
      <c r="J19" s="216">
        <v>16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237" customFormat="1" ht="4.5" customHeight="1">
      <c r="A20" s="240"/>
      <c r="B20" s="241"/>
      <c r="C20" s="242"/>
      <c r="D20" s="243"/>
      <c r="E20" s="244"/>
      <c r="F20" s="234"/>
      <c r="G20" s="235"/>
      <c r="H20" s="235"/>
      <c r="I20" s="235"/>
      <c r="J20" s="236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</row>
    <row r="21" spans="1:26" s="228" customFormat="1" ht="12.75" customHeight="1">
      <c r="A21" s="3" t="s">
        <v>1353</v>
      </c>
      <c r="B21" s="20" t="str">
        <f>VLOOKUP(J22,data!C:AQ,16,0)</f>
        <v>Orry</v>
      </c>
      <c r="C21" s="5"/>
      <c r="D21" s="6" t="s">
        <v>1354</v>
      </c>
      <c r="E21" s="7" t="str">
        <f>VLOOKUP(J22,data!C:AQ,17,0)</f>
        <v>Hartis BOhemia</v>
      </c>
      <c r="F21" s="265" t="s">
        <v>1770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228" customFormat="1" ht="15.75" customHeight="1">
      <c r="A22" s="16" t="s">
        <v>1355</v>
      </c>
      <c r="B22" s="9" t="str">
        <f>VLOOKUP(J22,data!C:AQ,28,0)</f>
        <v>Prokopová Monika</v>
      </c>
      <c r="C22" s="10"/>
      <c r="D22" s="11" t="s">
        <v>1356</v>
      </c>
      <c r="E22" s="12">
        <f>VLOOKUP(J22,data!C:D,2,0)</f>
        <v>13</v>
      </c>
      <c r="F22" s="266"/>
      <c r="G22" s="2"/>
      <c r="H22" s="2"/>
      <c r="I22" s="2"/>
      <c r="J22" s="216">
        <v>13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237" customFormat="1" ht="4.5" customHeight="1">
      <c r="A23" s="240"/>
      <c r="B23" s="241"/>
      <c r="C23" s="242"/>
      <c r="D23" s="243"/>
      <c r="E23" s="244"/>
      <c r="F23" s="234"/>
      <c r="G23" s="235"/>
      <c r="H23" s="235"/>
      <c r="I23" s="235"/>
      <c r="J23" s="236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</row>
    <row r="24" spans="1:26" s="228" customFormat="1" ht="12.75">
      <c r="A24" s="3" t="s">
        <v>1353</v>
      </c>
      <c r="B24" s="20" t="str">
        <f>VLOOKUP(J25,data!C:AQ,16,0)</f>
        <v xml:space="preserve">Baltazar </v>
      </c>
      <c r="C24" s="5"/>
      <c r="D24" s="6" t="s">
        <v>1354</v>
      </c>
      <c r="E24" s="219" t="str">
        <f>VLOOKUP(J25,data!C:AQ,17,0)</f>
        <v>Kascaro</v>
      </c>
      <c r="F24" s="265" t="s">
        <v>1769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228" customFormat="1">
      <c r="A25" s="16" t="s">
        <v>1355</v>
      </c>
      <c r="B25" s="9" t="str">
        <f>VLOOKUP(J25,data!C:AQ,28,0)</f>
        <v>Blovská Göttfert Seraphine</v>
      </c>
      <c r="C25" s="10"/>
      <c r="D25" s="11" t="s">
        <v>1356</v>
      </c>
      <c r="E25" s="220">
        <f>VLOOKUP(J25,data!C:D,2,0)</f>
        <v>2</v>
      </c>
      <c r="F25" s="266"/>
      <c r="G25" s="2"/>
      <c r="H25" s="2"/>
      <c r="I25" s="2"/>
      <c r="J25" s="216">
        <v>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237" customFormat="1" ht="4.5" customHeight="1">
      <c r="A26" s="240"/>
      <c r="B26" s="241"/>
      <c r="C26" s="242"/>
      <c r="D26" s="243"/>
      <c r="E26" s="244"/>
      <c r="F26" s="234"/>
      <c r="G26" s="235"/>
      <c r="H26" s="235"/>
      <c r="I26" s="235"/>
      <c r="J26" s="236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</row>
    <row r="27" spans="1:26" s="228" customFormat="1" ht="12.75" customHeight="1">
      <c r="A27" s="3" t="s">
        <v>1353</v>
      </c>
      <c r="B27" s="20" t="str">
        <f>VLOOKUP(J28,data!C:AQ,16,0)</f>
        <v>Tess</v>
      </c>
      <c r="C27" s="5"/>
      <c r="D27" s="6" t="s">
        <v>1354</v>
      </c>
      <c r="E27" s="7" t="str">
        <f>VLOOKUP(J28,data!C:AQ,17,0)</f>
        <v>Mir-Jar</v>
      </c>
      <c r="F27" s="265" t="s">
        <v>1769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s="228" customFormat="1" ht="15.75" customHeight="1">
      <c r="A28" s="16" t="s">
        <v>1355</v>
      </c>
      <c r="B28" s="9" t="str">
        <f>VLOOKUP(J28,data!C:AQ,28,0)</f>
        <v>Rychetský Tomáš</v>
      </c>
      <c r="C28" s="10"/>
      <c r="D28" s="11" t="s">
        <v>1356</v>
      </c>
      <c r="E28" s="12">
        <f>VLOOKUP(J28,data!C:D,2,0)</f>
        <v>18</v>
      </c>
      <c r="F28" s="266"/>
      <c r="G28" s="2"/>
      <c r="H28" s="2"/>
      <c r="I28" s="2"/>
      <c r="J28" s="216">
        <v>18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237" customFormat="1" ht="4.5" customHeight="1">
      <c r="A29" s="240"/>
      <c r="B29" s="241"/>
      <c r="C29" s="242"/>
      <c r="D29" s="243"/>
      <c r="E29" s="244"/>
      <c r="F29" s="234"/>
      <c r="G29" s="235"/>
      <c r="H29" s="235"/>
      <c r="I29" s="235"/>
      <c r="J29" s="236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</row>
    <row r="30" spans="1:26" s="228" customFormat="1" ht="12.75" customHeight="1">
      <c r="A30" s="3" t="s">
        <v>1353</v>
      </c>
      <c r="B30" s="20" t="str">
        <f>VLOOKUP(J31,data!C:AQ,16,0)</f>
        <v>Vax</v>
      </c>
      <c r="C30" s="5"/>
      <c r="D30" s="6" t="s">
        <v>1354</v>
      </c>
      <c r="E30" s="7" t="str">
        <f>VLOOKUP(J31,data!C:AQ,17,0)</f>
        <v>z Kmene Čeroký</v>
      </c>
      <c r="F30" s="265" t="s">
        <v>1769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228" customFormat="1" ht="15.75" customHeight="1">
      <c r="A31" s="16" t="s">
        <v>1355</v>
      </c>
      <c r="B31" s="9" t="str">
        <f>VLOOKUP(J31,data!C:AQ,28,0)</f>
        <v>Panáková Alena</v>
      </c>
      <c r="C31" s="10"/>
      <c r="D31" s="11" t="s">
        <v>1356</v>
      </c>
      <c r="E31" s="12">
        <f>VLOOKUP(J31,data!C:D,2,0)</f>
        <v>22</v>
      </c>
      <c r="F31" s="266"/>
      <c r="G31" s="2"/>
      <c r="H31" s="2"/>
      <c r="I31" s="2"/>
      <c r="J31" s="216">
        <v>22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237" customFormat="1" ht="4.5" customHeight="1">
      <c r="A32" s="240"/>
      <c r="B32" s="241"/>
      <c r="C32" s="242"/>
      <c r="D32" s="243"/>
      <c r="E32" s="244"/>
      <c r="F32" s="234"/>
      <c r="G32" s="235"/>
      <c r="H32" s="235"/>
      <c r="I32" s="235"/>
      <c r="J32" s="236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</row>
    <row r="33" spans="1:26" s="228" customFormat="1" ht="12.75" customHeight="1">
      <c r="A33" s="3" t="s">
        <v>1353</v>
      </c>
      <c r="B33" s="20" t="str">
        <f>VLOOKUP(J34,data!C:AQ,16,0)</f>
        <v>Yzerah</v>
      </c>
      <c r="C33" s="5"/>
      <c r="D33" s="6" t="s">
        <v>1354</v>
      </c>
      <c r="E33" s="7" t="str">
        <f>VLOOKUP(J34,data!C:AQ,17,0)</f>
        <v>Manepo Ideál</v>
      </c>
      <c r="F33" s="265" t="s">
        <v>1740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228" customFormat="1" ht="15.75" customHeight="1">
      <c r="A34" s="16" t="s">
        <v>1355</v>
      </c>
      <c r="B34" s="9" t="str">
        <f>VLOOKUP(J34,data!C:AQ,28,0)</f>
        <v>Trnková Martina</v>
      </c>
      <c r="C34" s="10"/>
      <c r="D34" s="11" t="s">
        <v>1356</v>
      </c>
      <c r="E34" s="12">
        <f>VLOOKUP(J34,data!C:D,2,0)</f>
        <v>25</v>
      </c>
      <c r="F34" s="266"/>
      <c r="G34" s="2"/>
      <c r="H34" s="2"/>
      <c r="I34" s="2"/>
      <c r="J34" s="216">
        <v>25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252" customFormat="1" ht="4.5" customHeight="1">
      <c r="A35" s="222"/>
      <c r="B35" s="223"/>
      <c r="C35" s="224"/>
      <c r="D35" s="225"/>
      <c r="E35" s="226"/>
      <c r="F35" s="227"/>
      <c r="G35" s="250"/>
      <c r="H35" s="250"/>
      <c r="I35" s="250"/>
      <c r="J35" s="251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</row>
    <row r="36" spans="1:26" s="228" customFormat="1" ht="12.75">
      <c r="A36" s="3" t="s">
        <v>1353</v>
      </c>
      <c r="B36" s="20" t="str">
        <f>VLOOKUP(J37,data!C:AQ,16,0)</f>
        <v>Artuš</v>
      </c>
      <c r="C36" s="5"/>
      <c r="D36" s="6" t="s">
        <v>1354</v>
      </c>
      <c r="E36" s="219" t="str">
        <f>VLOOKUP(J37,data!C:AQ,17,0)</f>
        <v>Scania Hof</v>
      </c>
      <c r="F36" s="265" t="s">
        <v>359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228" customFormat="1">
      <c r="A37" s="8" t="s">
        <v>1355</v>
      </c>
      <c r="B37" s="9" t="str">
        <f>VLOOKUP(J37,data!C:AQ,28,0)</f>
        <v>Kubačka Petr</v>
      </c>
      <c r="C37" s="10"/>
      <c r="D37" s="11" t="s">
        <v>1356</v>
      </c>
      <c r="E37" s="220">
        <f>VLOOKUP(J37,data!C:D,2,0)</f>
        <v>1</v>
      </c>
      <c r="F37" s="266"/>
      <c r="G37" s="2"/>
      <c r="H37" s="2"/>
      <c r="I37" s="2"/>
      <c r="J37" s="216">
        <v>1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s="228" customFormat="1" ht="4.5" customHeight="1">
      <c r="A38" s="2"/>
      <c r="B38" s="14"/>
      <c r="C38" s="2"/>
      <c r="D38" s="2"/>
      <c r="E38" s="215"/>
      <c r="F38" s="21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228" customFormat="1" ht="12.75" customHeight="1">
      <c r="A39" s="3" t="s">
        <v>1353</v>
      </c>
      <c r="B39" s="20" t="str">
        <f>VLOOKUP(J40,data!C:AQ,16,0)</f>
        <v>Bazi</v>
      </c>
      <c r="C39" s="5"/>
      <c r="D39" s="6" t="s">
        <v>1354</v>
      </c>
      <c r="E39" s="7" t="str">
        <f>VLOOKUP(J40,data!C:AQ,17,0)</f>
        <v>von Grosspriesen</v>
      </c>
      <c r="F39" s="265" t="s">
        <v>359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s="228" customFormat="1" ht="15.75" customHeight="1">
      <c r="A40" s="16" t="s">
        <v>1355</v>
      </c>
      <c r="B40" s="9" t="str">
        <f>VLOOKUP(J40,data!C:AQ,28,0)</f>
        <v>Novotný Jiří, Ing.</v>
      </c>
      <c r="C40" s="10"/>
      <c r="D40" s="11" t="s">
        <v>1356</v>
      </c>
      <c r="E40" s="12">
        <f>VLOOKUP(J40,data!C:D,2,0)</f>
        <v>3</v>
      </c>
      <c r="F40" s="266"/>
      <c r="G40" s="2"/>
      <c r="H40" s="2"/>
      <c r="I40" s="2"/>
      <c r="J40" s="216">
        <v>3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228" customFormat="1" ht="4.5" customHeight="1">
      <c r="A41" s="2"/>
      <c r="B41" s="14"/>
      <c r="C41" s="2"/>
      <c r="D41" s="2"/>
      <c r="E41" s="215"/>
      <c r="F41" s="21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s="228" customFormat="1" ht="12.75" customHeight="1">
      <c r="A42" s="3" t="s">
        <v>1353</v>
      </c>
      <c r="B42" s="20" t="str">
        <f>VLOOKUP(J43,data!C:AQ,16,0)</f>
        <v>Bollo</v>
      </c>
      <c r="C42" s="5"/>
      <c r="D42" s="6" t="s">
        <v>1354</v>
      </c>
      <c r="E42" s="7" t="str">
        <f>VLOOKUP(J43,data!C:AQ,17,0)</f>
        <v>Yvesko Bohemia</v>
      </c>
      <c r="F42" s="265" t="s">
        <v>359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s="228" customFormat="1" ht="15.75" customHeight="1">
      <c r="A43" s="16" t="s">
        <v>1355</v>
      </c>
      <c r="B43" s="9" t="str">
        <f>VLOOKUP(J43,data!C:AQ,28,0)</f>
        <v>Škopová Yvona</v>
      </c>
      <c r="C43" s="10"/>
      <c r="D43" s="11" t="s">
        <v>1356</v>
      </c>
      <c r="E43" s="12">
        <f>VLOOKUP(J43,data!C:D,2,0)</f>
        <v>4</v>
      </c>
      <c r="F43" s="266"/>
      <c r="G43" s="2"/>
      <c r="H43" s="2"/>
      <c r="I43" s="2"/>
      <c r="J43" s="216">
        <v>4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228" customFormat="1" ht="4.5" customHeight="1">
      <c r="A44" s="2"/>
      <c r="B44" s="14"/>
      <c r="C44" s="2"/>
      <c r="D44" s="2"/>
      <c r="E44" s="215"/>
      <c r="F44" s="21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228" customFormat="1" ht="12.75" customHeight="1">
      <c r="A45" s="3" t="s">
        <v>1353</v>
      </c>
      <c r="B45" s="20" t="str">
        <f>VLOOKUP(J46,data!C:AQ,16,0)</f>
        <v>Cir</v>
      </c>
      <c r="C45" s="5"/>
      <c r="D45" s="6" t="s">
        <v>1354</v>
      </c>
      <c r="E45" s="7" t="str">
        <f>VLOOKUP(J46,data!C:AQ,17,0)</f>
        <v>Bubenský dvůr</v>
      </c>
      <c r="F45" s="265" t="s">
        <v>359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s="228" customFormat="1" ht="15.75" customHeight="1">
      <c r="A46" s="16" t="s">
        <v>1355</v>
      </c>
      <c r="B46" s="9" t="str">
        <f>VLOOKUP(J46,data!C:AQ,28,0)</f>
        <v>Šnytr Oldřich</v>
      </c>
      <c r="C46" s="10"/>
      <c r="D46" s="11" t="s">
        <v>1356</v>
      </c>
      <c r="E46" s="12">
        <f>VLOOKUP(J46,data!C:D,2,0)</f>
        <v>5</v>
      </c>
      <c r="F46" s="266"/>
      <c r="G46" s="2"/>
      <c r="H46" s="2"/>
      <c r="I46" s="2"/>
      <c r="J46" s="216">
        <v>5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s="228" customFormat="1" ht="4.5" customHeight="1">
      <c r="A47" s="2"/>
      <c r="B47" s="14"/>
      <c r="C47" s="2"/>
      <c r="D47" s="2"/>
      <c r="E47" s="215"/>
      <c r="F47" s="2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228" customFormat="1" ht="12.75" customHeight="1">
      <c r="A48" s="3" t="s">
        <v>1353</v>
      </c>
      <c r="B48" s="20" t="str">
        <f>VLOOKUP(J49,data!C:AQ,16,0)</f>
        <v>Hunter</v>
      </c>
      <c r="C48" s="5"/>
      <c r="D48" s="6" t="s">
        <v>1354</v>
      </c>
      <c r="E48" s="7" t="str">
        <f>VLOOKUP(J49,data!C:AQ,17,0)</f>
        <v>v. Pallas Athene</v>
      </c>
      <c r="F48" s="265" t="s">
        <v>359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s="228" customFormat="1" ht="15.75" customHeight="1">
      <c r="A49" s="16" t="s">
        <v>1355</v>
      </c>
      <c r="B49" s="9" t="str">
        <f>VLOOKUP(J49,data!C:AQ,28,0)</f>
        <v>Koběnova Věra</v>
      </c>
      <c r="C49" s="10"/>
      <c r="D49" s="11" t="s">
        <v>1356</v>
      </c>
      <c r="E49" s="12">
        <f>VLOOKUP(J49,data!C:D,2,0)</f>
        <v>7</v>
      </c>
      <c r="F49" s="266"/>
      <c r="G49" s="2"/>
      <c r="H49" s="2"/>
      <c r="I49" s="2"/>
      <c r="J49" s="216">
        <v>7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228" customFormat="1" ht="4.5" customHeight="1">
      <c r="A50" s="2"/>
      <c r="B50" s="14"/>
      <c r="C50" s="2"/>
      <c r="D50" s="2"/>
      <c r="E50" s="215"/>
      <c r="F50" s="2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228" customFormat="1" ht="12.75" customHeight="1">
      <c r="A51" s="3" t="s">
        <v>1353</v>
      </c>
      <c r="B51" s="20" t="str">
        <f>VLOOKUP(J52,data!C:AQ,16,0)</f>
        <v>Jefy</v>
      </c>
      <c r="C51" s="5"/>
      <c r="D51" s="6" t="s">
        <v>1354</v>
      </c>
      <c r="E51" s="7" t="str">
        <f>VLOOKUP(J52,data!C:AQ,17,0)</f>
        <v>z Jirkova dvora</v>
      </c>
      <c r="F51" s="265" t="s">
        <v>359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228" customFormat="1" ht="15.75" customHeight="1">
      <c r="A52" s="16" t="s">
        <v>1355</v>
      </c>
      <c r="B52" s="9" t="str">
        <f>VLOOKUP(J52,data!C:AQ,28,0)</f>
        <v>Novotný Jiří, Ing.</v>
      </c>
      <c r="C52" s="10"/>
      <c r="D52" s="11" t="s">
        <v>1356</v>
      </c>
      <c r="E52" s="12">
        <f>VLOOKUP(J52,data!C:D,2,0)</f>
        <v>8</v>
      </c>
      <c r="F52" s="266"/>
      <c r="G52" s="2"/>
      <c r="H52" s="2"/>
      <c r="I52" s="2"/>
      <c r="J52" s="216">
        <v>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228" customFormat="1" ht="4.5" customHeight="1">
      <c r="A53" s="2"/>
      <c r="B53" s="14"/>
      <c r="C53" s="2"/>
      <c r="D53" s="2"/>
      <c r="E53" s="215"/>
      <c r="F53" s="2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228" customFormat="1" ht="12.75" customHeight="1">
      <c r="A54" s="3" t="s">
        <v>1353</v>
      </c>
      <c r="B54" s="20" t="str">
        <f>VLOOKUP(J55,data!C:AQ,16,0)</f>
        <v>Jeremy</v>
      </c>
      <c r="C54" s="5"/>
      <c r="D54" s="6" t="s">
        <v>1354</v>
      </c>
      <c r="E54" s="7" t="str">
        <f>VLOOKUP(J55,data!C:AQ,17,0)</f>
        <v>Provocativo</v>
      </c>
      <c r="F54" s="265" t="s">
        <v>359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228" customFormat="1" ht="15.75" customHeight="1">
      <c r="A55" s="16" t="s">
        <v>1355</v>
      </c>
      <c r="B55" s="9" t="str">
        <f>VLOOKUP(J55,data!C:AQ,28,0)</f>
        <v>Zahradníková Barbora</v>
      </c>
      <c r="C55" s="10"/>
      <c r="D55" s="11" t="s">
        <v>1356</v>
      </c>
      <c r="E55" s="12">
        <f>VLOOKUP(J55,data!C:D,2,0)</f>
        <v>9</v>
      </c>
      <c r="F55" s="266"/>
      <c r="G55" s="2"/>
      <c r="H55" s="2"/>
      <c r="I55" s="2"/>
      <c r="J55" s="216">
        <v>9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228" customFormat="1" ht="4.5" customHeight="1">
      <c r="A56" s="2"/>
      <c r="B56" s="14"/>
      <c r="C56" s="2"/>
      <c r="D56" s="2"/>
      <c r="E56" s="215"/>
      <c r="F56" s="21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228" customFormat="1" ht="12.75" customHeight="1">
      <c r="A57" s="3" t="s">
        <v>1353</v>
      </c>
      <c r="B57" s="20" t="str">
        <f>VLOOKUP(J58,data!C:AQ,16,0)</f>
        <v>Ondra</v>
      </c>
      <c r="C57" s="5"/>
      <c r="D57" s="6" t="s">
        <v>1354</v>
      </c>
      <c r="E57" s="7" t="str">
        <f>VLOOKUP(J58,data!C:AQ,17,0)</f>
        <v>Mir-Jar</v>
      </c>
      <c r="F57" s="265" t="s">
        <v>359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228" customFormat="1" ht="15.75" customHeight="1">
      <c r="A58" s="16" t="s">
        <v>1355</v>
      </c>
      <c r="B58" s="9" t="str">
        <f>VLOOKUP(J58,data!C:AQ,28,0)</f>
        <v>Anderle Jaromír</v>
      </c>
      <c r="C58" s="10"/>
      <c r="D58" s="11" t="s">
        <v>1356</v>
      </c>
      <c r="E58" s="12">
        <f>VLOOKUP(J58,data!C:D,2,0)</f>
        <v>12</v>
      </c>
      <c r="F58" s="266"/>
      <c r="G58" s="2"/>
      <c r="H58" s="2"/>
      <c r="I58" s="2"/>
      <c r="J58" s="216">
        <v>12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228" customFormat="1" ht="4.5" customHeight="1">
      <c r="A59" s="2"/>
      <c r="B59" s="14"/>
      <c r="C59" s="2"/>
      <c r="D59" s="2"/>
      <c r="E59" s="215"/>
      <c r="F59" s="21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228" customFormat="1" ht="12.75" customHeight="1">
      <c r="A60" s="3" t="s">
        <v>1353</v>
      </c>
      <c r="B60" s="20" t="str">
        <f>VLOOKUP(J61,data!C:AQ,16,0)</f>
        <v>Quentin</v>
      </c>
      <c r="C60" s="5"/>
      <c r="D60" s="6" t="s">
        <v>1354</v>
      </c>
      <c r="E60" s="7" t="str">
        <f>VLOOKUP(J61,data!C:AQ,17,0)</f>
        <v>von Regina Pacis</v>
      </c>
      <c r="F60" s="265" t="s">
        <v>359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228" customFormat="1" ht="15.75" customHeight="1">
      <c r="A61" s="16" t="s">
        <v>1355</v>
      </c>
      <c r="B61" s="9" t="str">
        <f>VLOOKUP(J61,data!C:AQ,28,0)</f>
        <v>Havelkova Michaela Maier</v>
      </c>
      <c r="C61" s="10"/>
      <c r="D61" s="11" t="s">
        <v>1356</v>
      </c>
      <c r="E61" s="12">
        <f>VLOOKUP(J61,data!C:D,2,0)</f>
        <v>14</v>
      </c>
      <c r="F61" s="266"/>
      <c r="G61" s="2"/>
      <c r="H61" s="2"/>
      <c r="I61" s="2"/>
      <c r="J61" s="216">
        <v>14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228" customFormat="1" ht="4.5" customHeight="1">
      <c r="A62" s="2"/>
      <c r="B62" s="14"/>
      <c r="C62" s="2"/>
      <c r="D62" s="2"/>
      <c r="E62" s="215"/>
      <c r="F62" s="21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228" customFormat="1" ht="12.75" customHeight="1">
      <c r="A63" s="3" t="s">
        <v>1353</v>
      </c>
      <c r="B63" s="20" t="str">
        <f>VLOOKUP(J64,data!C:AQ,16,0)</f>
        <v>Renno</v>
      </c>
      <c r="C63" s="5"/>
      <c r="D63" s="6" t="s">
        <v>1354</v>
      </c>
      <c r="E63" s="7" t="str">
        <f>VLOOKUP(J64,data!C:AQ,17,0)</f>
        <v>Mir-Jar</v>
      </c>
      <c r="F63" s="265" t="s">
        <v>359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228" customFormat="1" ht="15.75" customHeight="1">
      <c r="A64" s="16" t="s">
        <v>1355</v>
      </c>
      <c r="B64" s="9" t="str">
        <f>VLOOKUP(J64,data!C:AQ,28,0)</f>
        <v>Půža Jiří</v>
      </c>
      <c r="C64" s="10"/>
      <c r="D64" s="11" t="s">
        <v>1356</v>
      </c>
      <c r="E64" s="12">
        <f>VLOOKUP(J64,data!C:D,2,0)</f>
        <v>15</v>
      </c>
      <c r="F64" s="266"/>
      <c r="G64" s="2"/>
      <c r="H64" s="2"/>
      <c r="I64" s="2"/>
      <c r="J64" s="216">
        <v>15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228" customFormat="1" ht="4.5" customHeight="1">
      <c r="A65" s="2"/>
      <c r="B65" s="14"/>
      <c r="C65" s="2"/>
      <c r="D65" s="2"/>
      <c r="E65" s="215"/>
      <c r="F65" s="21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228" customFormat="1" ht="12.75" customHeight="1">
      <c r="A66" s="3" t="s">
        <v>1353</v>
      </c>
      <c r="B66" s="20" t="str">
        <f>VLOOKUP(J67,data!C:AQ,16,0)</f>
        <v>Uran</v>
      </c>
      <c r="C66" s="5"/>
      <c r="D66" s="6" t="s">
        <v>1354</v>
      </c>
      <c r="E66" s="7" t="str">
        <f>VLOOKUP(J67,data!C:AQ,17,0)</f>
        <v>Cetrio</v>
      </c>
      <c r="F66" s="265" t="s">
        <v>359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228" customFormat="1" ht="15.75" customHeight="1">
      <c r="A67" s="16" t="s">
        <v>1355</v>
      </c>
      <c r="B67" s="9" t="str">
        <f>VLOOKUP(J67,data!C:AQ,28,0)</f>
        <v>Černovský Miloslav</v>
      </c>
      <c r="C67" s="10"/>
      <c r="D67" s="11" t="s">
        <v>1356</v>
      </c>
      <c r="E67" s="12">
        <f>VLOOKUP(J67,data!C:D,2,0)</f>
        <v>20</v>
      </c>
      <c r="F67" s="266"/>
      <c r="G67" s="2"/>
      <c r="H67" s="2"/>
      <c r="I67" s="2"/>
      <c r="J67" s="216">
        <v>20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228" customFormat="1" ht="4.5" customHeight="1">
      <c r="A68" s="2"/>
      <c r="B68" s="14"/>
      <c r="C68" s="2"/>
      <c r="D68" s="2"/>
      <c r="E68" s="215"/>
      <c r="F68" s="21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228" customFormat="1" ht="12.75" customHeight="1">
      <c r="A69" s="3" t="s">
        <v>1353</v>
      </c>
      <c r="B69" s="20" t="str">
        <f>VLOOKUP(J70,data!C:AQ,16,0)</f>
        <v>Vanessa</v>
      </c>
      <c r="C69" s="5"/>
      <c r="D69" s="6" t="s">
        <v>1354</v>
      </c>
      <c r="E69" s="7" t="str">
        <f>VLOOKUP(J70,data!C:AQ,17,0)</f>
        <v>Bri-JAck</v>
      </c>
      <c r="F69" s="265" t="s">
        <v>359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228" customFormat="1" ht="15.75" customHeight="1">
      <c r="A70" s="16" t="s">
        <v>1355</v>
      </c>
      <c r="B70" s="9" t="str">
        <f>VLOOKUP(J70,data!C:AQ,28,0)</f>
        <v>Prokopová Monika</v>
      </c>
      <c r="C70" s="10"/>
      <c r="D70" s="11" t="s">
        <v>1356</v>
      </c>
      <c r="E70" s="12">
        <f>VLOOKUP(J70,data!C:D,2,0)</f>
        <v>21</v>
      </c>
      <c r="F70" s="266"/>
      <c r="G70" s="2"/>
      <c r="H70" s="2"/>
      <c r="I70" s="2"/>
      <c r="J70" s="216">
        <v>21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228" customFormat="1" ht="4.5" customHeight="1">
      <c r="A71" s="2"/>
      <c r="B71" s="14"/>
      <c r="C71" s="2"/>
      <c r="D71" s="2"/>
      <c r="E71" s="215"/>
      <c r="F71" s="2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228" customFormat="1" ht="12.75" customHeight="1">
      <c r="A72" s="3" t="s">
        <v>1353</v>
      </c>
      <c r="B72" s="20" t="str">
        <f>VLOOKUP(J73,data!C:AQ,16,0)</f>
        <v>Villy</v>
      </c>
      <c r="C72" s="5"/>
      <c r="D72" s="6" t="s">
        <v>1354</v>
      </c>
      <c r="E72" s="7" t="str">
        <f>VLOOKUP(J73,data!C:AQ,17,0)</f>
        <v>Gard Bohemia</v>
      </c>
      <c r="F72" s="265" t="s">
        <v>359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228" customFormat="1" ht="15.75" customHeight="1">
      <c r="A73" s="16" t="s">
        <v>1355</v>
      </c>
      <c r="B73" s="9" t="str">
        <f>VLOOKUP(J73,data!C:AQ,28,0)</f>
        <v>Pekárek Marian</v>
      </c>
      <c r="C73" s="10"/>
      <c r="D73" s="11" t="s">
        <v>1356</v>
      </c>
      <c r="E73" s="12">
        <f>VLOOKUP(J73,data!C:D,2,0)</f>
        <v>23</v>
      </c>
      <c r="F73" s="266"/>
      <c r="G73" s="2"/>
      <c r="H73" s="2"/>
      <c r="I73" s="2"/>
      <c r="J73" s="216">
        <v>23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228" customFormat="1" ht="4.5" customHeight="1">
      <c r="A74" s="2"/>
      <c r="B74" s="14"/>
      <c r="C74" s="2"/>
      <c r="D74" s="2"/>
      <c r="E74" s="215"/>
      <c r="F74" s="21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228" customFormat="1" ht="12.75" customHeight="1">
      <c r="A75" s="3" t="s">
        <v>1353</v>
      </c>
      <c r="B75" s="20" t="str">
        <f>VLOOKUP(J76,data!C:AQ,16,0)</f>
        <v>Xartto</v>
      </c>
      <c r="C75" s="5"/>
      <c r="D75" s="6" t="s">
        <v>1354</v>
      </c>
      <c r="E75" s="7" t="str">
        <f>VLOOKUP(J76,data!C:AQ,17,0)</f>
        <v>z Jirkova dvora</v>
      </c>
      <c r="F75" s="265" t="s">
        <v>359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228" customFormat="1" ht="15.75" customHeight="1">
      <c r="A76" s="16" t="s">
        <v>1355</v>
      </c>
      <c r="B76" s="9" t="str">
        <f>VLOOKUP(J76,data!C:AQ,28,0)</f>
        <v>Novotný Jiří, Ing.</v>
      </c>
      <c r="C76" s="10"/>
      <c r="D76" s="11" t="s">
        <v>1356</v>
      </c>
      <c r="E76" s="12">
        <f>VLOOKUP(J76,data!C:D,2,0)</f>
        <v>24</v>
      </c>
      <c r="F76" s="266"/>
      <c r="G76" s="2"/>
      <c r="H76" s="2"/>
      <c r="I76" s="2"/>
      <c r="J76" s="216">
        <v>24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252" customFormat="1" ht="15.75" customHeight="1">
      <c r="A77" s="222"/>
      <c r="B77" s="223"/>
      <c r="C77" s="224"/>
      <c r="D77" s="225"/>
      <c r="E77" s="226"/>
      <c r="F77" s="227"/>
      <c r="G77" s="250"/>
      <c r="H77" s="250"/>
      <c r="I77" s="250"/>
      <c r="J77" s="251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</row>
    <row r="78" spans="1:26" s="228" customFormat="1" ht="23.25">
      <c r="A78" s="271" t="s">
        <v>1357</v>
      </c>
      <c r="B78" s="271"/>
      <c r="C78" s="271"/>
      <c r="D78" s="271"/>
      <c r="E78" s="27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237" customFormat="1" ht="13.5" customHeight="1">
      <c r="A79" s="240"/>
      <c r="B79" s="241"/>
      <c r="C79" s="242"/>
      <c r="D79" s="243"/>
      <c r="E79" s="244"/>
      <c r="F79" s="248"/>
      <c r="G79" s="235"/>
      <c r="H79" s="235"/>
      <c r="I79" s="235"/>
      <c r="J79" s="236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</row>
    <row r="80" spans="1:26" s="228" customFormat="1" ht="12.75" customHeight="1">
      <c r="A80" s="3" t="s">
        <v>1353</v>
      </c>
      <c r="B80" s="20" t="str">
        <f>VLOOKUP(J81,data!C:AQ,16,0)</f>
        <v>Jimmi</v>
      </c>
      <c r="C80" s="5"/>
      <c r="D80" s="6" t="s">
        <v>1354</v>
      </c>
      <c r="E80" s="7" t="str">
        <f>VLOOKUP(J81,data!C:AQ,17,0)</f>
        <v>Best of the Gods</v>
      </c>
      <c r="F80" s="267" t="s">
        <v>1760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228" customFormat="1" ht="27.75" customHeight="1">
      <c r="A81" s="16" t="s">
        <v>1355</v>
      </c>
      <c r="B81" s="9" t="str">
        <f>VLOOKUP(J81,data!C:AQ,28,0)</f>
        <v>Pistulková Lenka</v>
      </c>
      <c r="C81" s="10"/>
      <c r="D81" s="11" t="s">
        <v>1356</v>
      </c>
      <c r="E81" s="12">
        <f>VLOOKUP(J81,data!C:D,2,0)</f>
        <v>27</v>
      </c>
      <c r="F81" s="268"/>
      <c r="G81" s="2"/>
      <c r="H81" s="2"/>
      <c r="I81" s="2"/>
      <c r="J81" s="216">
        <v>27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237" customFormat="1" ht="4.5" customHeight="1">
      <c r="A82" s="240"/>
      <c r="B82" s="241"/>
      <c r="C82" s="242"/>
      <c r="D82" s="243"/>
      <c r="E82" s="244"/>
      <c r="F82" s="248"/>
      <c r="G82" s="235"/>
      <c r="H82" s="235"/>
      <c r="I82" s="235"/>
      <c r="J82" s="236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</row>
    <row r="83" spans="1:26" s="228" customFormat="1" ht="12.75" customHeight="1">
      <c r="A83" s="3" t="s">
        <v>1353</v>
      </c>
      <c r="B83" s="20" t="str">
        <f>VLOOKUP(J84,data!C:AQ,16,0)</f>
        <v>Rony</v>
      </c>
      <c r="C83" s="5"/>
      <c r="D83" s="6" t="s">
        <v>1354</v>
      </c>
      <c r="E83" s="7" t="str">
        <f>VLOOKUP(J84,data!C:AQ,17,0)</f>
        <v>from Georgeland</v>
      </c>
      <c r="F83" s="267" t="s">
        <v>1766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228" customFormat="1" ht="27.75" customHeight="1">
      <c r="A84" s="16" t="s">
        <v>1355</v>
      </c>
      <c r="B84" s="9" t="str">
        <f>VLOOKUP(J84,data!C:AQ,28,0)</f>
        <v>Dovrtěl Jiří, Mgr., LL. M.</v>
      </c>
      <c r="C84" s="10"/>
      <c r="D84" s="11" t="s">
        <v>1356</v>
      </c>
      <c r="E84" s="12">
        <f>VLOOKUP(J84,data!C:D,2,0)</f>
        <v>29</v>
      </c>
      <c r="F84" s="268"/>
      <c r="G84" s="2"/>
      <c r="H84" s="2"/>
      <c r="I84" s="2"/>
      <c r="J84" s="216">
        <v>29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237" customFormat="1" ht="4.5" customHeight="1">
      <c r="A85" s="240"/>
      <c r="B85" s="241"/>
      <c r="C85" s="242"/>
      <c r="D85" s="243"/>
      <c r="E85" s="244"/>
      <c r="F85" s="248"/>
      <c r="G85" s="235"/>
      <c r="H85" s="235"/>
      <c r="I85" s="235"/>
      <c r="J85" s="236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</row>
    <row r="86" spans="1:26" s="228" customFormat="1" ht="12.75" customHeight="1">
      <c r="A86" s="3" t="s">
        <v>1353</v>
      </c>
      <c r="B86" s="20" t="str">
        <f>VLOOKUP(J87,data!C:AQ,16,0)</f>
        <v>Kasim</v>
      </c>
      <c r="C86" s="5"/>
      <c r="D86" s="6" t="s">
        <v>1354</v>
      </c>
      <c r="E86" s="7" t="str">
        <f>VLOOKUP(J87,data!C:AQ,17,0)</f>
        <v>Ro-Kop Bohemia</v>
      </c>
      <c r="F86" s="261" t="s">
        <v>1763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228" customFormat="1" ht="15.75" customHeight="1">
      <c r="A87" s="16" t="s">
        <v>1355</v>
      </c>
      <c r="B87" s="9" t="str">
        <f>VLOOKUP(J87,data!C:AQ,28,0)</f>
        <v>Konečná Lucie</v>
      </c>
      <c r="C87" s="10"/>
      <c r="D87" s="11" t="s">
        <v>1356</v>
      </c>
      <c r="E87" s="12">
        <f>VLOOKUP(J87,data!C:D,2,0)</f>
        <v>28</v>
      </c>
      <c r="F87" s="262"/>
      <c r="G87" s="2"/>
      <c r="H87" s="2"/>
      <c r="I87" s="2"/>
      <c r="J87" s="216">
        <v>28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237" customFormat="1" ht="4.5" customHeight="1">
      <c r="A88" s="240"/>
      <c r="B88" s="241"/>
      <c r="C88" s="242"/>
      <c r="D88" s="243"/>
      <c r="E88" s="244"/>
      <c r="F88" s="248"/>
      <c r="G88" s="235"/>
      <c r="H88" s="235"/>
      <c r="I88" s="235"/>
      <c r="J88" s="236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</row>
    <row r="89" spans="1:26" s="228" customFormat="1" ht="12.75" customHeight="1">
      <c r="A89" s="3" t="s">
        <v>1353</v>
      </c>
      <c r="B89" s="20" t="str">
        <f>VLOOKUP(J90,data!C:AQ,16,0)</f>
        <v>Emilio</v>
      </c>
      <c r="C89" s="5"/>
      <c r="D89" s="6" t="s">
        <v>1354</v>
      </c>
      <c r="E89" s="7" t="str">
        <f>VLOOKUP(J90,data!C:AQ,17,0)</f>
        <v>Provocativo</v>
      </c>
      <c r="F89" s="261" t="s">
        <v>1768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228" customFormat="1" ht="15.75" customHeight="1">
      <c r="A90" s="16" t="s">
        <v>1355</v>
      </c>
      <c r="B90" s="9" t="str">
        <f>VLOOKUP(J90,data!C:AQ,28,0)</f>
        <v>Sedlák Jan</v>
      </c>
      <c r="C90" s="10"/>
      <c r="D90" s="11" t="s">
        <v>1356</v>
      </c>
      <c r="E90" s="12">
        <f>VLOOKUP(J90,data!C:D,2,0)</f>
        <v>26</v>
      </c>
      <c r="F90" s="262"/>
      <c r="G90" s="2"/>
      <c r="H90" s="2"/>
      <c r="I90" s="2"/>
      <c r="J90" s="216">
        <v>26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237" customFormat="1" ht="27.75" customHeight="1">
      <c r="A91" s="240"/>
      <c r="B91" s="241"/>
      <c r="C91" s="242"/>
      <c r="D91" s="243"/>
      <c r="E91" s="244"/>
      <c r="F91" s="248"/>
      <c r="G91" s="235"/>
      <c r="H91" s="235"/>
      <c r="I91" s="235"/>
      <c r="J91" s="236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</row>
    <row r="92" spans="1:26" s="228" customFormat="1" ht="24.75" customHeight="1">
      <c r="A92" s="264" t="s">
        <v>1358</v>
      </c>
      <c r="B92" s="264"/>
      <c r="C92" s="264"/>
      <c r="D92" s="264"/>
      <c r="E92" s="26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228" customFormat="1" ht="12.75" customHeight="1">
      <c r="A93" s="3" t="s">
        <v>1353</v>
      </c>
      <c r="B93" s="20" t="str">
        <f>VLOOKUP(J94,data!C:AQ,16,0)</f>
        <v>Quara</v>
      </c>
      <c r="C93" s="5"/>
      <c r="D93" s="6" t="s">
        <v>1354</v>
      </c>
      <c r="E93" s="7" t="str">
        <f>VLOOKUP(J94,data!C:AQ,17,0)</f>
        <v>Hartis Bohemia</v>
      </c>
      <c r="F93" s="267" t="s">
        <v>1760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228" customFormat="1" ht="27.75" customHeight="1">
      <c r="A94" s="16" t="s">
        <v>1355</v>
      </c>
      <c r="B94" s="9" t="str">
        <f>VLOOKUP(J94,data!C:AQ,28,0)</f>
        <v>Melounová Helena, MVDr.</v>
      </c>
      <c r="C94" s="10"/>
      <c r="D94" s="11" t="s">
        <v>1356</v>
      </c>
      <c r="E94" s="17">
        <f>VLOOKUP(J94,data!C:D,2,0)</f>
        <v>20</v>
      </c>
      <c r="F94" s="268"/>
      <c r="G94" s="2"/>
      <c r="H94" s="2"/>
      <c r="I94" s="2"/>
      <c r="J94" s="216">
        <v>49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s="237" customFormat="1" ht="4.5" customHeight="1">
      <c r="A95" s="240"/>
      <c r="B95" s="241"/>
      <c r="C95" s="242"/>
      <c r="D95" s="243"/>
      <c r="E95" s="244"/>
      <c r="F95" s="234"/>
      <c r="G95" s="235"/>
      <c r="H95" s="235"/>
      <c r="I95" s="235"/>
      <c r="J95" s="236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</row>
    <row r="96" spans="1:26" s="228" customFormat="1" ht="12.75" customHeight="1">
      <c r="A96" s="3" t="s">
        <v>1353</v>
      </c>
      <c r="B96" s="20" t="str">
        <f>VLOOKUP(J97,data!C:AQ,16,0)</f>
        <v>Zarada</v>
      </c>
      <c r="C96" s="5"/>
      <c r="D96" s="6" t="s">
        <v>1354</v>
      </c>
      <c r="E96" s="7" t="str">
        <f>VLOOKUP(J97,data!C:AQ,17,0)</f>
        <v>Dlhá Roveň</v>
      </c>
      <c r="F96" s="267" t="s">
        <v>1766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s="228" customFormat="1" ht="27.75" customHeight="1">
      <c r="A97" s="16" t="s">
        <v>1355</v>
      </c>
      <c r="B97" s="9" t="str">
        <f>VLOOKUP(J97,data!C:AQ,28,0)</f>
        <v>Majsniar Albín</v>
      </c>
      <c r="C97" s="10"/>
      <c r="D97" s="11" t="s">
        <v>1356</v>
      </c>
      <c r="E97" s="17">
        <f>VLOOKUP(J97,data!C:D,2,0)</f>
        <v>28</v>
      </c>
      <c r="F97" s="268"/>
      <c r="G97" s="2"/>
      <c r="H97" s="2"/>
      <c r="I97" s="2"/>
      <c r="J97" s="216">
        <v>57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s="237" customFormat="1" ht="4.5" customHeight="1">
      <c r="A98" s="240"/>
      <c r="B98" s="241"/>
      <c r="C98" s="242"/>
      <c r="D98" s="243"/>
      <c r="E98" s="244"/>
      <c r="F98" s="234"/>
      <c r="G98" s="235"/>
      <c r="H98" s="235"/>
      <c r="I98" s="235"/>
      <c r="J98" s="236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</row>
    <row r="99" spans="1:26" s="228" customFormat="1" ht="12.75" customHeight="1">
      <c r="A99" s="3" t="s">
        <v>1353</v>
      </c>
      <c r="B99" s="20" t="str">
        <f>VLOOKUP(J100,data!C:AQ,16,0)</f>
        <v>Ester</v>
      </c>
      <c r="C99" s="5"/>
      <c r="D99" s="6" t="s">
        <v>1354</v>
      </c>
      <c r="E99" s="7" t="str">
        <f>VLOOKUP(J100,data!C:AQ,17,0)</f>
        <v>vom Bierstadter Hof</v>
      </c>
      <c r="F99" s="261" t="s">
        <v>1754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s="228" customFormat="1" ht="15.75" customHeight="1">
      <c r="A100" s="16" t="s">
        <v>1355</v>
      </c>
      <c r="B100" s="9" t="str">
        <f>VLOOKUP(J100,data!C:AQ,28,0)</f>
        <v>Kopecká Lucie</v>
      </c>
      <c r="C100" s="10"/>
      <c r="D100" s="11" t="s">
        <v>1356</v>
      </c>
      <c r="E100" s="17">
        <f>VLOOKUP(J100,data!C:D,2,0)</f>
        <v>9</v>
      </c>
      <c r="F100" s="262"/>
      <c r="G100" s="2"/>
      <c r="H100" s="2"/>
      <c r="I100" s="2"/>
      <c r="J100" s="216">
        <v>38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228" customFormat="1" ht="4.5" customHeight="1">
      <c r="A101" s="2"/>
      <c r="B101" s="14"/>
      <c r="C101" s="2"/>
      <c r="D101" s="2"/>
      <c r="E101" s="2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228" customFormat="1" ht="12.75" customHeight="1">
      <c r="A102" s="3" t="s">
        <v>1353</v>
      </c>
      <c r="B102" s="20" t="str">
        <f>VLOOKUP(J103,data!C:AQ,16,0)</f>
        <v>Katy Perry</v>
      </c>
      <c r="C102" s="5"/>
      <c r="D102" s="6" t="s">
        <v>1354</v>
      </c>
      <c r="E102" s="7" t="str">
        <f>VLOOKUP(J103,data!C:AQ,17,0)</f>
        <v>Mir-Jar</v>
      </c>
      <c r="F102" s="261" t="s">
        <v>1757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228" customFormat="1" ht="15.75" customHeight="1">
      <c r="A103" s="16" t="s">
        <v>1355</v>
      </c>
      <c r="B103" s="9" t="str">
        <f>VLOOKUP(J103,data!C:AQ,28,0)</f>
        <v>Gladiš Pavel</v>
      </c>
      <c r="C103" s="10"/>
      <c r="D103" s="11" t="s">
        <v>1356</v>
      </c>
      <c r="E103" s="17">
        <f>VLOOKUP(J103,data!C:D,2,0)</f>
        <v>14</v>
      </c>
      <c r="F103" s="262"/>
      <c r="G103" s="2"/>
      <c r="H103" s="2"/>
      <c r="I103" s="2"/>
      <c r="J103" s="216">
        <v>43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228" customFormat="1" ht="4.5" customHeight="1">
      <c r="A104" s="2"/>
      <c r="B104" s="14"/>
      <c r="C104" s="2"/>
      <c r="D104" s="2"/>
      <c r="E104" s="2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228" customFormat="1" ht="12.75" customHeight="1">
      <c r="A105" s="3" t="s">
        <v>1353</v>
      </c>
      <c r="B105" s="20" t="str">
        <f>VLOOKUP(J106,data!C:AQ,16,0)</f>
        <v>Ira</v>
      </c>
      <c r="C105" s="5"/>
      <c r="D105" s="6" t="s">
        <v>1354</v>
      </c>
      <c r="E105" s="7" t="str">
        <f>VLOOKUP(J106,data!C:AQ,17,0)</f>
        <v>Mir-Jar</v>
      </c>
      <c r="F105" s="261" t="s">
        <v>1756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228" customFormat="1" ht="15.75" customHeight="1">
      <c r="A106" s="16" t="s">
        <v>1355</v>
      </c>
      <c r="B106" s="9" t="str">
        <f>VLOOKUP(J106,data!C:AQ,28,0)</f>
        <v>Půža Jiří</v>
      </c>
      <c r="C106" s="10"/>
      <c r="D106" s="11" t="s">
        <v>1356</v>
      </c>
      <c r="E106" s="17">
        <f>VLOOKUP(J106,data!C:D,2,0)</f>
        <v>11</v>
      </c>
      <c r="F106" s="262"/>
      <c r="G106" s="2"/>
      <c r="H106" s="2"/>
      <c r="I106" s="2"/>
      <c r="J106" s="216">
        <v>40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237" customFormat="1" ht="4.5" customHeight="1">
      <c r="A107" s="240"/>
      <c r="B107" s="241"/>
      <c r="C107" s="242"/>
      <c r="D107" s="243"/>
      <c r="E107" s="244"/>
      <c r="F107" s="234"/>
      <c r="G107" s="235"/>
      <c r="H107" s="235"/>
      <c r="I107" s="235"/>
      <c r="J107" s="236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</row>
    <row r="108" spans="1:26" s="228" customFormat="1" ht="12.75" customHeight="1">
      <c r="A108" s="3" t="s">
        <v>1353</v>
      </c>
      <c r="B108" s="20" t="str">
        <f>VLOOKUP(J109,data!C:AQ,16,0)</f>
        <v>Yorika</v>
      </c>
      <c r="C108" s="5"/>
      <c r="D108" s="6" t="s">
        <v>1354</v>
      </c>
      <c r="E108" s="7" t="str">
        <f>VLOOKUP(J109,data!C:AQ,17,0)</f>
        <v>Provocativo</v>
      </c>
      <c r="F108" s="261" t="s">
        <v>1765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228" customFormat="1" ht="15.75" customHeight="1">
      <c r="A109" s="16" t="s">
        <v>1355</v>
      </c>
      <c r="B109" s="9" t="str">
        <f>VLOOKUP(J109,data!C:AQ,28,0)</f>
        <v>Zahradníková Barbora</v>
      </c>
      <c r="C109" s="10"/>
      <c r="D109" s="11" t="s">
        <v>1356</v>
      </c>
      <c r="E109" s="17">
        <f>VLOOKUP(J109,data!C:D,2,0)</f>
        <v>27</v>
      </c>
      <c r="F109" s="262"/>
      <c r="G109" s="2"/>
      <c r="H109" s="2"/>
      <c r="I109" s="2"/>
      <c r="J109" s="216">
        <v>56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237" customFormat="1" ht="4.5" customHeight="1">
      <c r="A110" s="240"/>
      <c r="B110" s="241"/>
      <c r="C110" s="242"/>
      <c r="D110" s="243"/>
      <c r="E110" s="244"/>
      <c r="F110" s="234"/>
      <c r="G110" s="235"/>
      <c r="H110" s="235"/>
      <c r="I110" s="235"/>
      <c r="J110" s="236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</row>
    <row r="111" spans="1:26" s="228" customFormat="1" ht="12.75" customHeight="1">
      <c r="A111" s="3" t="s">
        <v>1353</v>
      </c>
      <c r="B111" s="20" t="str">
        <f>VLOOKUP(J112,data!C:AQ,16,0)</f>
        <v>Elly</v>
      </c>
      <c r="C111" s="5"/>
      <c r="D111" s="6" t="s">
        <v>1354</v>
      </c>
      <c r="E111" s="7" t="str">
        <f>VLOOKUP(J112,data!C:AQ,17,0)</f>
        <v>Dlhá Roveň</v>
      </c>
      <c r="F111" s="261" t="s">
        <v>1753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228" customFormat="1" ht="15.75" customHeight="1">
      <c r="A112" s="16" t="s">
        <v>1355</v>
      </c>
      <c r="B112" s="9" t="str">
        <f>VLOOKUP(J112,data!C:AQ,28,0)</f>
        <v>Majsniar Albín</v>
      </c>
      <c r="C112" s="10"/>
      <c r="D112" s="11" t="s">
        <v>1356</v>
      </c>
      <c r="E112" s="17">
        <f>VLOOKUP(J112,data!C:D,2,0)</f>
        <v>8</v>
      </c>
      <c r="F112" s="262"/>
      <c r="G112" s="2"/>
      <c r="H112" s="2"/>
      <c r="I112" s="2"/>
      <c r="J112" s="216">
        <v>37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237" customFormat="1" ht="4.5" customHeight="1">
      <c r="A113" s="240"/>
      <c r="B113" s="241"/>
      <c r="C113" s="242"/>
      <c r="D113" s="243"/>
      <c r="E113" s="244"/>
      <c r="F113" s="234"/>
      <c r="G113" s="235"/>
      <c r="H113" s="235"/>
      <c r="I113" s="235"/>
      <c r="J113" s="236"/>
      <c r="K113" s="235"/>
      <c r="L113" s="235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</row>
    <row r="114" spans="1:26" s="228" customFormat="1" ht="12.75" customHeight="1">
      <c r="A114" s="3" t="s">
        <v>1353</v>
      </c>
      <c r="B114" s="20" t="str">
        <f>VLOOKUP(J115,data!C:AQ,16,0)</f>
        <v>Tarra</v>
      </c>
      <c r="C114" s="5"/>
      <c r="D114" s="6" t="s">
        <v>1354</v>
      </c>
      <c r="E114" s="7" t="str">
        <f>VLOOKUP(J115,data!C:AQ,17,0)</f>
        <v>Hartis Bohemia</v>
      </c>
      <c r="F114" s="261" t="s">
        <v>1763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228" customFormat="1" ht="15.75" customHeight="1">
      <c r="A115" s="16" t="s">
        <v>1355</v>
      </c>
      <c r="B115" s="9" t="str">
        <f>VLOOKUP(J115,data!C:AQ,28,0)</f>
        <v>Hubená Petra</v>
      </c>
      <c r="C115" s="10"/>
      <c r="D115" s="11" t="s">
        <v>1356</v>
      </c>
      <c r="E115" s="17">
        <f>VLOOKUP(J115,data!C:D,2,0)</f>
        <v>23</v>
      </c>
      <c r="F115" s="262"/>
      <c r="G115" s="2"/>
      <c r="H115" s="2"/>
      <c r="I115" s="2"/>
      <c r="J115" s="216">
        <v>52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237" customFormat="1" ht="4.5" customHeight="1">
      <c r="A116" s="240"/>
      <c r="B116" s="241"/>
      <c r="C116" s="242"/>
      <c r="D116" s="243"/>
      <c r="E116" s="244"/>
      <c r="F116" s="234"/>
      <c r="G116" s="235"/>
      <c r="H116" s="235"/>
      <c r="I116" s="235"/>
      <c r="J116" s="236"/>
      <c r="K116" s="235"/>
      <c r="L116" s="235"/>
      <c r="M116" s="235"/>
      <c r="N116" s="235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</row>
    <row r="117" spans="1:26" s="228" customFormat="1" ht="12.75" customHeight="1">
      <c r="A117" s="3" t="s">
        <v>1353</v>
      </c>
      <c r="B117" s="20" t="str">
        <f>VLOOKUP(J118,data!C:AQ,16,0)</f>
        <v>Agi</v>
      </c>
      <c r="C117" s="5"/>
      <c r="D117" s="6" t="s">
        <v>1354</v>
      </c>
      <c r="E117" s="7" t="str">
        <f>VLOOKUP(J118,data!C:AQ,17,0)</f>
        <v>Bri-JAck</v>
      </c>
      <c r="F117" s="261" t="s">
        <v>1721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228" customFormat="1" ht="15.75" customHeight="1">
      <c r="A118" s="16" t="s">
        <v>1355</v>
      </c>
      <c r="B118" s="9" t="str">
        <f>VLOOKUP(J118,data!C:AQ,28,0)</f>
        <v>Prokopová Monika</v>
      </c>
      <c r="C118" s="10"/>
      <c r="D118" s="11" t="s">
        <v>1356</v>
      </c>
      <c r="E118" s="17">
        <f>VLOOKUP(J118,data!C:D,2,0)</f>
        <v>1</v>
      </c>
      <c r="F118" s="262"/>
      <c r="G118" s="2"/>
      <c r="H118" s="2"/>
      <c r="I118" s="2"/>
      <c r="J118" s="216">
        <v>30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237" customFormat="1" ht="4.5" customHeight="1">
      <c r="A119" s="240"/>
      <c r="B119" s="241"/>
      <c r="C119" s="242"/>
      <c r="D119" s="243"/>
      <c r="E119" s="244"/>
      <c r="F119" s="234"/>
      <c r="G119" s="235"/>
      <c r="H119" s="235"/>
      <c r="I119" s="235"/>
      <c r="J119" s="236"/>
      <c r="K119" s="235"/>
      <c r="L119" s="235"/>
      <c r="M119" s="235"/>
      <c r="N119" s="235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</row>
    <row r="120" spans="1:26" s="228" customFormat="1" ht="12.75" customHeight="1">
      <c r="A120" s="3" t="s">
        <v>1353</v>
      </c>
      <c r="B120" s="20" t="str">
        <f>VLOOKUP(J121,data!C:AQ,16,0)</f>
        <v>Uri</v>
      </c>
      <c r="C120" s="5"/>
      <c r="D120" s="6" t="s">
        <v>1354</v>
      </c>
      <c r="E120" s="7" t="str">
        <f>VLOOKUP(J121,data!C:AQ,17,0)</f>
        <v>Hartis Bohemia</v>
      </c>
      <c r="F120" s="261" t="s">
        <v>1764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228" customFormat="1" ht="15.75" customHeight="1">
      <c r="A121" s="16" t="s">
        <v>1355</v>
      </c>
      <c r="B121" s="9" t="str">
        <f>VLOOKUP(J121,data!C:AQ,28,0)</f>
        <v>Vendovská Jana</v>
      </c>
      <c r="C121" s="10"/>
      <c r="D121" s="11" t="s">
        <v>1356</v>
      </c>
      <c r="E121" s="17">
        <f>VLOOKUP(J121,data!C:D,2,0)</f>
        <v>24</v>
      </c>
      <c r="F121" s="262"/>
      <c r="G121" s="2"/>
      <c r="H121" s="2"/>
      <c r="I121" s="2"/>
      <c r="J121" s="216">
        <v>53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237" customFormat="1" ht="4.5" customHeight="1">
      <c r="A122" s="240"/>
      <c r="B122" s="241"/>
      <c r="C122" s="242"/>
      <c r="D122" s="243"/>
      <c r="E122" s="244"/>
      <c r="F122" s="234"/>
      <c r="G122" s="235"/>
      <c r="H122" s="235"/>
      <c r="I122" s="235"/>
      <c r="J122" s="236"/>
      <c r="K122" s="235"/>
      <c r="L122" s="235"/>
      <c r="M122" s="235"/>
      <c r="N122" s="235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</row>
    <row r="123" spans="1:26" s="228" customFormat="1" ht="12.75" customHeight="1">
      <c r="A123" s="3" t="s">
        <v>1353</v>
      </c>
      <c r="B123" s="20" t="str">
        <f>VLOOKUP(J124,data!C:AQ,16,0)</f>
        <v>Aris</v>
      </c>
      <c r="C123" s="5"/>
      <c r="D123" s="6" t="s">
        <v>1354</v>
      </c>
      <c r="E123" s="7" t="str">
        <f>VLOOKUP(J124,data!C:AQ,17,0)</f>
        <v>Eimi Hof</v>
      </c>
      <c r="F123" s="261" t="s">
        <v>1724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s="228" customFormat="1" ht="15.75" customHeight="1">
      <c r="A124" s="16" t="s">
        <v>1355</v>
      </c>
      <c r="B124" s="9" t="str">
        <f>VLOOKUP(J124,data!C:AQ,28,0)</f>
        <v>Kostkovi Jana a Petr</v>
      </c>
      <c r="C124" s="10"/>
      <c r="D124" s="11" t="s">
        <v>1356</v>
      </c>
      <c r="E124" s="17">
        <f>VLOOKUP(J124,data!C:D,2,0)</f>
        <v>4</v>
      </c>
      <c r="F124" s="262"/>
      <c r="G124" s="2"/>
      <c r="H124" s="2"/>
      <c r="I124" s="2"/>
      <c r="J124" s="216">
        <v>33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s="237" customFormat="1" ht="4.5" customHeight="1">
      <c r="A125" s="240"/>
      <c r="B125" s="241"/>
      <c r="C125" s="242"/>
      <c r="D125" s="243"/>
      <c r="E125" s="244"/>
      <c r="F125" s="234"/>
      <c r="G125" s="235"/>
      <c r="H125" s="235"/>
      <c r="I125" s="235"/>
      <c r="J125" s="236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</row>
    <row r="126" spans="1:26" s="228" customFormat="1" ht="12.75" customHeight="1">
      <c r="A126" s="3" t="s">
        <v>1353</v>
      </c>
      <c r="B126" s="20" t="str">
        <f>VLOOKUP(J127,data!C:AQ,16,0)</f>
        <v>Iris</v>
      </c>
      <c r="C126" s="5"/>
      <c r="D126" s="6" t="s">
        <v>1354</v>
      </c>
      <c r="E126" s="7" t="str">
        <f>VLOOKUP(J127,data!C:AQ,17,0)</f>
        <v>Best  of the Gods</v>
      </c>
      <c r="F126" s="261" t="s">
        <v>1725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s="228" customFormat="1" ht="15.75" customHeight="1">
      <c r="A127" s="16" t="s">
        <v>1355</v>
      </c>
      <c r="B127" s="9" t="str">
        <f>VLOOKUP(J127,data!C:AQ,28,0)</f>
        <v>Konvalinková Veronika</v>
      </c>
      <c r="C127" s="10"/>
      <c r="D127" s="11" t="s">
        <v>1356</v>
      </c>
      <c r="E127" s="17">
        <f>VLOOKUP(J127,data!C:D,2,0)</f>
        <v>12</v>
      </c>
      <c r="F127" s="262"/>
      <c r="G127" s="2"/>
      <c r="H127" s="2"/>
      <c r="I127" s="2"/>
      <c r="J127" s="216">
        <v>41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s="237" customFormat="1" ht="4.5" customHeight="1">
      <c r="A128" s="240"/>
      <c r="B128" s="241"/>
      <c r="C128" s="242"/>
      <c r="D128" s="243"/>
      <c r="E128" s="244"/>
      <c r="F128" s="234"/>
      <c r="G128" s="235"/>
      <c r="H128" s="235"/>
      <c r="I128" s="235"/>
      <c r="J128" s="236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5"/>
      <c r="V128" s="235"/>
      <c r="W128" s="235"/>
      <c r="X128" s="235"/>
      <c r="Y128" s="235"/>
      <c r="Z128" s="235"/>
    </row>
    <row r="129" spans="1:26" s="228" customFormat="1" ht="12.75" customHeight="1">
      <c r="A129" s="3" t="s">
        <v>1353</v>
      </c>
      <c r="B129" s="20" t="str">
        <f>VLOOKUP(J130,data!C:AQ,16,0)</f>
        <v>Palme</v>
      </c>
      <c r="C129" s="5"/>
      <c r="D129" s="6" t="s">
        <v>1354</v>
      </c>
      <c r="E129" s="7" t="str">
        <f>VLOOKUP(J130,data!C:AQ,17,0)</f>
        <v>Hartis Bohemia</v>
      </c>
      <c r="F129" s="261" t="s">
        <v>1758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s="228" customFormat="1" ht="15.75" customHeight="1">
      <c r="A130" s="16" t="s">
        <v>1355</v>
      </c>
      <c r="B130" s="9" t="str">
        <f>VLOOKUP(J130,data!C:AQ,28,0)</f>
        <v>Sebera Jiří</v>
      </c>
      <c r="C130" s="10"/>
      <c r="D130" s="11" t="s">
        <v>1356</v>
      </c>
      <c r="E130" s="17">
        <f>VLOOKUP(J130,data!C:D,2,0)</f>
        <v>18</v>
      </c>
      <c r="F130" s="262"/>
      <c r="G130" s="2"/>
      <c r="H130" s="2"/>
      <c r="I130" s="2"/>
      <c r="J130" s="216">
        <v>47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s="228" customFormat="1" ht="4.5" customHeight="1">
      <c r="A131" s="2"/>
      <c r="B131" s="14"/>
      <c r="C131" s="2"/>
      <c r="D131" s="2"/>
      <c r="E131" s="2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s="228" customFormat="1" ht="12.75" customHeight="1">
      <c r="A132" s="3" t="s">
        <v>1353</v>
      </c>
      <c r="B132" s="20" t="str">
        <f>VLOOKUP(J133,data!C:AQ,16,0)</f>
        <v>Q´Goldie</v>
      </c>
      <c r="C132" s="5"/>
      <c r="D132" s="6" t="s">
        <v>1354</v>
      </c>
      <c r="E132" s="7" t="str">
        <f>VLOOKUP(J133,data!C:AQ,17,0)</f>
        <v>Best  of the Gods</v>
      </c>
      <c r="F132" s="261" t="s">
        <v>1759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s="228" customFormat="1" ht="15.75" customHeight="1">
      <c r="A133" s="16" t="s">
        <v>1355</v>
      </c>
      <c r="B133" s="9" t="str">
        <f>VLOOKUP(J133,data!C:AQ,28,0)</f>
        <v>Konvalinková Veronika</v>
      </c>
      <c r="C133" s="10"/>
      <c r="D133" s="11" t="s">
        <v>1356</v>
      </c>
      <c r="E133" s="17">
        <f>VLOOKUP(J133,data!C:D,2,0)</f>
        <v>19</v>
      </c>
      <c r="F133" s="262"/>
      <c r="G133" s="2"/>
      <c r="H133" s="2"/>
      <c r="I133" s="2"/>
      <c r="J133" s="216">
        <v>48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s="237" customFormat="1" ht="4.5" customHeight="1">
      <c r="A134" s="240"/>
      <c r="B134" s="241"/>
      <c r="C134" s="242"/>
      <c r="D134" s="243"/>
      <c r="E134" s="244"/>
      <c r="F134" s="234"/>
      <c r="G134" s="235"/>
      <c r="H134" s="235"/>
      <c r="I134" s="235"/>
      <c r="J134" s="236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</row>
    <row r="135" spans="1:26" s="228" customFormat="1" ht="12.75" customHeight="1">
      <c r="A135" s="3" t="s">
        <v>1353</v>
      </c>
      <c r="B135" s="20" t="str">
        <f>VLOOKUP(J136,data!C:AQ,16,0)</f>
        <v>Stefanie</v>
      </c>
      <c r="C135" s="5"/>
      <c r="D135" s="6" t="s">
        <v>1354</v>
      </c>
      <c r="E135" s="7" t="str">
        <f>VLOOKUP(J136,data!C:AQ,17,0)</f>
        <v>Best of the Gods</v>
      </c>
      <c r="F135" s="261" t="s">
        <v>1762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s="228" customFormat="1" ht="15.75" customHeight="1">
      <c r="A136" s="16" t="s">
        <v>1355</v>
      </c>
      <c r="B136" s="9" t="str">
        <f>VLOOKUP(J136,data!C:AQ,28,0)</f>
        <v>Štruplová Anežka</v>
      </c>
      <c r="C136" s="10"/>
      <c r="D136" s="11" t="s">
        <v>1356</v>
      </c>
      <c r="E136" s="17">
        <f>VLOOKUP(J136,data!C:D,2,0)</f>
        <v>22</v>
      </c>
      <c r="F136" s="262"/>
      <c r="G136" s="2"/>
      <c r="H136" s="2"/>
      <c r="I136" s="2"/>
      <c r="J136" s="216">
        <v>51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s="228" customFormat="1" ht="4.5" customHeight="1">
      <c r="A137" s="2"/>
      <c r="B137" s="14"/>
      <c r="C137" s="2"/>
      <c r="D137" s="2"/>
      <c r="E137" s="2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s="228" customFormat="1" ht="12.75" customHeight="1">
      <c r="A138" s="3" t="s">
        <v>1353</v>
      </c>
      <c r="B138" s="20" t="str">
        <f>VLOOKUP(J139,data!C:AQ,16,0)</f>
        <v>Ronda</v>
      </c>
      <c r="C138" s="5"/>
      <c r="D138" s="6" t="s">
        <v>1354</v>
      </c>
      <c r="E138" s="7" t="str">
        <f>VLOOKUP(J139,data!C:AQ,17,0)</f>
        <v>Hartis Bohemia</v>
      </c>
      <c r="F138" s="261" t="s">
        <v>1761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s="228" customFormat="1" ht="15.75" customHeight="1">
      <c r="A139" s="16" t="s">
        <v>1355</v>
      </c>
      <c r="B139" s="9" t="str">
        <f>VLOOKUP(J139,data!C:AQ,28,0)</f>
        <v>Vendovská Jana</v>
      </c>
      <c r="C139" s="10"/>
      <c r="D139" s="11" t="s">
        <v>1356</v>
      </c>
      <c r="E139" s="17">
        <f>VLOOKUP(J139,data!C:D,2,0)</f>
        <v>21</v>
      </c>
      <c r="F139" s="262"/>
      <c r="G139" s="2"/>
      <c r="H139" s="2"/>
      <c r="I139" s="2"/>
      <c r="J139" s="216">
        <v>50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s="237" customFormat="1" ht="4.5" customHeight="1">
      <c r="A140" s="240"/>
      <c r="B140" s="241"/>
      <c r="C140" s="242"/>
      <c r="D140" s="243"/>
      <c r="E140" s="244"/>
      <c r="F140" s="234"/>
      <c r="G140" s="235"/>
      <c r="H140" s="235"/>
      <c r="I140" s="235"/>
      <c r="J140" s="236"/>
      <c r="K140" s="235"/>
      <c r="L140" s="235"/>
      <c r="M140" s="235"/>
      <c r="N140" s="235"/>
      <c r="O140" s="235"/>
      <c r="P140" s="235"/>
      <c r="Q140" s="235"/>
      <c r="R140" s="235"/>
      <c r="S140" s="235"/>
      <c r="T140" s="235"/>
      <c r="U140" s="235"/>
      <c r="V140" s="235"/>
      <c r="W140" s="235"/>
      <c r="X140" s="235"/>
      <c r="Y140" s="235"/>
      <c r="Z140" s="235"/>
    </row>
    <row r="141" spans="1:26" s="228" customFormat="1" ht="12.75" customHeight="1">
      <c r="A141" s="3" t="s">
        <v>1353</v>
      </c>
      <c r="B141" s="20" t="str">
        <f>VLOOKUP(J142,data!C:AQ,16,0)</f>
        <v>Finlandia</v>
      </c>
      <c r="C141" s="5"/>
      <c r="D141" s="6" t="s">
        <v>1354</v>
      </c>
      <c r="E141" s="7" t="str">
        <f>VLOOKUP(J142,data!C:AQ,17,0)</f>
        <v>Od tajemných břehů</v>
      </c>
      <c r="F141" s="261" t="s">
        <v>1755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s="228" customFormat="1" ht="15.75" customHeight="1">
      <c r="A142" s="16" t="s">
        <v>1355</v>
      </c>
      <c r="B142" s="9" t="str">
        <f>VLOOKUP(J142,data!C:AQ,28,0)</f>
        <v>Košař Martin</v>
      </c>
      <c r="C142" s="10"/>
      <c r="D142" s="11" t="s">
        <v>1356</v>
      </c>
      <c r="E142" s="17">
        <f>VLOOKUP(J142,data!C:D,2,0)</f>
        <v>10</v>
      </c>
      <c r="F142" s="262"/>
      <c r="G142" s="2"/>
      <c r="H142" s="2"/>
      <c r="I142" s="2"/>
      <c r="J142" s="216">
        <v>39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s="237" customFormat="1" ht="4.5" customHeight="1">
      <c r="A143" s="240"/>
      <c r="B143" s="241"/>
      <c r="C143" s="242"/>
      <c r="D143" s="243"/>
      <c r="E143" s="244"/>
      <c r="F143" s="234"/>
      <c r="G143" s="235"/>
      <c r="H143" s="235"/>
      <c r="I143" s="235"/>
      <c r="J143" s="236"/>
      <c r="K143" s="235"/>
      <c r="L143" s="235"/>
      <c r="M143" s="235"/>
      <c r="N143" s="235"/>
      <c r="O143" s="235"/>
      <c r="P143" s="235"/>
      <c r="Q143" s="235"/>
      <c r="R143" s="235"/>
      <c r="S143" s="235"/>
      <c r="T143" s="235"/>
      <c r="U143" s="235"/>
      <c r="V143" s="235"/>
      <c r="W143" s="235"/>
      <c r="X143" s="235"/>
      <c r="Y143" s="235"/>
      <c r="Z143" s="235"/>
    </row>
    <row r="144" spans="1:26" s="228" customFormat="1" ht="12.75" customHeight="1">
      <c r="A144" s="3" t="s">
        <v>1353</v>
      </c>
      <c r="B144" s="20" t="str">
        <f>VLOOKUP(J145,data!C:AQ,16,0)</f>
        <v>Vanessa</v>
      </c>
      <c r="C144" s="5"/>
      <c r="D144" s="6" t="s">
        <v>1354</v>
      </c>
      <c r="E144" s="7" t="str">
        <f>VLOOKUP(J145,data!C:AQ,17,0)</f>
        <v>Bri-JAck</v>
      </c>
      <c r="F144" s="261" t="s">
        <v>1767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s="228" customFormat="1" ht="15.75" customHeight="1">
      <c r="A145" s="16" t="s">
        <v>1355</v>
      </c>
      <c r="B145" s="9" t="str">
        <f>VLOOKUP(J145,data!C:AQ,28,0)</f>
        <v>Prokopová Monika</v>
      </c>
      <c r="C145" s="10"/>
      <c r="D145" s="11" t="s">
        <v>1356</v>
      </c>
      <c r="E145" s="249">
        <v>106</v>
      </c>
      <c r="F145" s="262"/>
      <c r="G145" s="2"/>
      <c r="H145" s="2"/>
      <c r="I145" s="2"/>
      <c r="J145" s="216">
        <v>21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s="237" customFormat="1" ht="4.5" customHeight="1">
      <c r="A146" s="240"/>
      <c r="B146" s="241"/>
      <c r="C146" s="242"/>
      <c r="D146" s="243"/>
      <c r="E146" s="244"/>
      <c r="F146" s="234"/>
      <c r="G146" s="235"/>
      <c r="H146" s="235"/>
      <c r="I146" s="235"/>
      <c r="J146" s="236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  <c r="W146" s="235"/>
      <c r="X146" s="235"/>
      <c r="Y146" s="235"/>
      <c r="Z146" s="235"/>
    </row>
    <row r="147" spans="1:26" s="228" customFormat="1" ht="15" customHeight="1">
      <c r="A147" s="3" t="s">
        <v>1353</v>
      </c>
      <c r="B147" s="20" t="str">
        <f>VLOOKUP(J148,data!C:AQ,16,0)</f>
        <v xml:space="preserve">Kodaline </v>
      </c>
      <c r="C147" s="5"/>
      <c r="D147" s="6" t="s">
        <v>1354</v>
      </c>
      <c r="E147" s="7" t="str">
        <f>VLOOKUP(J148,data!C:AQ,17,0)</f>
        <v>Leryka</v>
      </c>
      <c r="F147" s="265" t="s">
        <v>1771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s="228" customFormat="1">
      <c r="A148" s="16" t="s">
        <v>1355</v>
      </c>
      <c r="B148" s="9" t="str">
        <f>VLOOKUP(J148,data!C:AQ,28,0)</f>
        <v>Rysová Lenka</v>
      </c>
      <c r="C148" s="10"/>
      <c r="D148" s="11" t="s">
        <v>1356</v>
      </c>
      <c r="E148" s="17">
        <f>VLOOKUP(J148,data!C:D,2,0)</f>
        <v>15</v>
      </c>
      <c r="F148" s="266"/>
      <c r="G148" s="2"/>
      <c r="H148" s="2"/>
      <c r="I148" s="2"/>
      <c r="J148" s="216">
        <v>44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s="237" customFormat="1" ht="4.5" customHeight="1">
      <c r="A149" s="240"/>
      <c r="B149" s="241"/>
      <c r="C149" s="242"/>
      <c r="D149" s="243"/>
      <c r="E149" s="244"/>
      <c r="F149" s="234"/>
      <c r="G149" s="235"/>
      <c r="H149" s="235"/>
      <c r="I149" s="235"/>
      <c r="J149" s="236"/>
      <c r="K149" s="235"/>
      <c r="L149" s="235"/>
      <c r="M149" s="235"/>
      <c r="N149" s="235"/>
      <c r="O149" s="235"/>
      <c r="P149" s="235"/>
      <c r="Q149" s="235"/>
      <c r="R149" s="235"/>
      <c r="S149" s="235"/>
      <c r="T149" s="235"/>
      <c r="U149" s="235"/>
      <c r="V149" s="235"/>
      <c r="W149" s="235"/>
      <c r="X149" s="235"/>
      <c r="Y149" s="235"/>
      <c r="Z149" s="235"/>
    </row>
    <row r="150" spans="1:26" s="228" customFormat="1" ht="12.75">
      <c r="A150" s="3" t="s">
        <v>1353</v>
      </c>
      <c r="B150" s="20" t="str">
        <f>VLOOKUP(J151,data!C:AQ,16,0)</f>
        <v>Wanda</v>
      </c>
      <c r="C150" s="5"/>
      <c r="D150" s="6" t="s">
        <v>1354</v>
      </c>
      <c r="E150" s="7" t="str">
        <f>VLOOKUP(J151,data!C:AQ,17,0)</f>
        <v>z Folinku</v>
      </c>
      <c r="F150" s="265" t="s">
        <v>1772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s="228" customFormat="1">
      <c r="A151" s="16" t="s">
        <v>1355</v>
      </c>
      <c r="B151" s="9" t="str">
        <f>VLOOKUP(J151,data!C:AQ,28,0)</f>
        <v>Honzárková Klára, Mgr.</v>
      </c>
      <c r="C151" s="10"/>
      <c r="D151" s="11" t="s">
        <v>1356</v>
      </c>
      <c r="E151" s="17">
        <f>VLOOKUP(J151,data!C:D,2,0)</f>
        <v>25</v>
      </c>
      <c r="F151" s="266"/>
      <c r="G151" s="2"/>
      <c r="H151" s="2"/>
      <c r="I151" s="2"/>
      <c r="J151" s="216">
        <v>54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s="237" customFormat="1" ht="4.5" customHeight="1">
      <c r="A152" s="240"/>
      <c r="B152" s="241"/>
      <c r="C152" s="242"/>
      <c r="D152" s="243"/>
      <c r="E152" s="244"/>
      <c r="F152" s="234"/>
      <c r="G152" s="235"/>
      <c r="H152" s="235"/>
      <c r="I152" s="235"/>
      <c r="J152" s="236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5"/>
      <c r="Z152" s="235"/>
    </row>
    <row r="153" spans="1:26" s="228" customFormat="1" ht="12.75">
      <c r="A153" s="3" t="s">
        <v>1353</v>
      </c>
      <c r="B153" s="20" t="str">
        <f>VLOOKUP(J154,data!C:AQ,16,0)</f>
        <v>Megie</v>
      </c>
      <c r="C153" s="5"/>
      <c r="D153" s="6" t="s">
        <v>1354</v>
      </c>
      <c r="E153" s="7" t="str">
        <f>VLOOKUP(J154,data!C:AQ,17,0)</f>
        <v>od Hradčanského rybníka</v>
      </c>
      <c r="F153" s="265" t="s">
        <v>1773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s="228" customFormat="1">
      <c r="A154" s="16" t="s">
        <v>1355</v>
      </c>
      <c r="B154" s="9" t="str">
        <f>VLOOKUP(J154,data!C:AQ,28,0)</f>
        <v>Koloušek Jiří</v>
      </c>
      <c r="C154" s="10"/>
      <c r="D154" s="11" t="s">
        <v>1356</v>
      </c>
      <c r="E154" s="17">
        <f>VLOOKUP(J154,data!C:D,2,0)</f>
        <v>16</v>
      </c>
      <c r="F154" s="266"/>
      <c r="G154" s="2"/>
      <c r="H154" s="2"/>
      <c r="I154" s="2"/>
      <c r="J154" s="216">
        <v>45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s="237" customFormat="1" ht="4.5" customHeight="1">
      <c r="A155" s="240"/>
      <c r="B155" s="241"/>
      <c r="C155" s="242"/>
      <c r="D155" s="243"/>
      <c r="E155" s="244"/>
      <c r="F155" s="234"/>
      <c r="G155" s="235"/>
      <c r="H155" s="235"/>
      <c r="I155" s="235"/>
      <c r="J155" s="236"/>
      <c r="K155" s="235"/>
      <c r="L155" s="235"/>
      <c r="M155" s="235"/>
      <c r="N155" s="235"/>
      <c r="O155" s="235"/>
      <c r="P155" s="235"/>
      <c r="Q155" s="235"/>
      <c r="R155" s="235"/>
      <c r="S155" s="235"/>
      <c r="T155" s="235"/>
      <c r="U155" s="235"/>
      <c r="V155" s="235"/>
      <c r="W155" s="235"/>
      <c r="X155" s="235"/>
      <c r="Y155" s="235"/>
      <c r="Z155" s="235"/>
    </row>
    <row r="156" spans="1:26" s="228" customFormat="1" ht="12.75">
      <c r="A156" s="3" t="s">
        <v>1353</v>
      </c>
      <c r="B156" s="20" t="str">
        <f>VLOOKUP(J157,data!C:AQ,16,0)</f>
        <v xml:space="preserve">Molly </v>
      </c>
      <c r="C156" s="5"/>
      <c r="D156" s="6" t="s">
        <v>1354</v>
      </c>
      <c r="E156" s="7" t="str">
        <f>VLOOKUP(J157,data!C:AQ,17,0)</f>
        <v>Starý samotár</v>
      </c>
      <c r="F156" s="265" t="s">
        <v>1740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s="228" customFormat="1">
      <c r="A157" s="16" t="s">
        <v>1355</v>
      </c>
      <c r="B157" s="9" t="str">
        <f>VLOOKUP(J157,data!C:AQ,28,0)</f>
        <v>Koloušek Jiří</v>
      </c>
      <c r="C157" s="10"/>
      <c r="D157" s="11" t="s">
        <v>1356</v>
      </c>
      <c r="E157" s="17">
        <f>VLOOKUP(J157,data!C:D,2,0)</f>
        <v>17</v>
      </c>
      <c r="F157" s="266"/>
      <c r="G157" s="2"/>
      <c r="H157" s="2"/>
      <c r="I157" s="2"/>
      <c r="J157" s="216">
        <v>46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s="237" customFormat="1" ht="4.5" customHeight="1">
      <c r="A158" s="240"/>
      <c r="B158" s="241"/>
      <c r="C158" s="242"/>
      <c r="D158" s="243"/>
      <c r="E158" s="244"/>
      <c r="F158" s="234"/>
      <c r="G158" s="235"/>
      <c r="H158" s="235"/>
      <c r="I158" s="235"/>
      <c r="J158" s="236"/>
      <c r="K158" s="235"/>
      <c r="L158" s="235"/>
      <c r="M158" s="235"/>
      <c r="N158" s="235"/>
      <c r="O158" s="235"/>
      <c r="P158" s="235"/>
      <c r="Q158" s="235"/>
      <c r="R158" s="235"/>
      <c r="S158" s="235"/>
      <c r="T158" s="235"/>
      <c r="U158" s="235"/>
      <c r="V158" s="235"/>
      <c r="W158" s="235"/>
      <c r="X158" s="235"/>
      <c r="Y158" s="235"/>
      <c r="Z158" s="235"/>
    </row>
    <row r="159" spans="1:26" s="228" customFormat="1" ht="12.75" customHeight="1">
      <c r="A159" s="3" t="s">
        <v>1353</v>
      </c>
      <c r="B159" s="20" t="str">
        <f>VLOOKUP(J160,data!C:AQ,16,0)</f>
        <v>Amalia</v>
      </c>
      <c r="C159" s="5"/>
      <c r="D159" s="6" t="s">
        <v>1354</v>
      </c>
      <c r="E159" s="7" t="str">
        <f>VLOOKUP(J160,data!C:AQ,17,0)</f>
        <v>di Grande Torrente</v>
      </c>
      <c r="F159" s="261" t="s">
        <v>359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s="228" customFormat="1" ht="15.75" customHeight="1">
      <c r="A160" s="16" t="s">
        <v>1355</v>
      </c>
      <c r="B160" s="9" t="str">
        <f>VLOOKUP(J160,data!C:AQ,28,0)</f>
        <v>Šejdová Jana</v>
      </c>
      <c r="C160" s="10"/>
      <c r="D160" s="11" t="s">
        <v>1356</v>
      </c>
      <c r="E160" s="17">
        <f>VLOOKUP(J160,data!C:D,2,0)</f>
        <v>2</v>
      </c>
      <c r="F160" s="262"/>
      <c r="G160" s="2"/>
      <c r="H160" s="2"/>
      <c r="I160" s="2"/>
      <c r="J160" s="216">
        <v>31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s="228" customFormat="1" ht="4.5" customHeight="1">
      <c r="A161" s="2"/>
      <c r="B161" s="14"/>
      <c r="C161" s="2"/>
      <c r="D161" s="2"/>
      <c r="E161" s="2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s="228" customFormat="1" ht="12.75" customHeight="1">
      <c r="A162" s="3" t="s">
        <v>1353</v>
      </c>
      <c r="B162" s="20" t="str">
        <f>VLOOKUP(J163,data!C:AQ,16,0)</f>
        <v>Arach</v>
      </c>
      <c r="C162" s="5"/>
      <c r="D162" s="6" t="s">
        <v>1354</v>
      </c>
      <c r="E162" s="7" t="str">
        <f>VLOOKUP(J163,data!C:AQ,17,0)</f>
        <v>Eimi Hof</v>
      </c>
      <c r="F162" s="261" t="s">
        <v>359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s="228" customFormat="1" ht="15.75" customHeight="1">
      <c r="A163" s="16" t="s">
        <v>1355</v>
      </c>
      <c r="B163" s="9" t="str">
        <f>VLOOKUP(J163,data!C:AQ,28,0)</f>
        <v>Kostkovi Jana a Petr</v>
      </c>
      <c r="C163" s="10"/>
      <c r="D163" s="11" t="s">
        <v>1356</v>
      </c>
      <c r="E163" s="17">
        <f>VLOOKUP(J163,data!C:D,2,0)</f>
        <v>3</v>
      </c>
      <c r="F163" s="262"/>
      <c r="G163" s="2"/>
      <c r="H163" s="2"/>
      <c r="I163" s="2"/>
      <c r="J163" s="216">
        <v>32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s="228" customFormat="1" ht="4.5" customHeight="1">
      <c r="A164" s="2"/>
      <c r="B164" s="14"/>
      <c r="C164" s="2"/>
      <c r="D164" s="2"/>
      <c r="E164" s="2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s="228" customFormat="1" ht="12.75" customHeight="1">
      <c r="A165" s="3" t="s">
        <v>1353</v>
      </c>
      <c r="B165" s="20" t="str">
        <f>VLOOKUP(J166,data!C:AQ,16,0)</f>
        <v>Daffi</v>
      </c>
      <c r="C165" s="5"/>
      <c r="D165" s="6" t="s">
        <v>1354</v>
      </c>
      <c r="E165" s="7" t="str">
        <f>VLOOKUP(J166,data!C:AQ,17,0)</f>
        <v>Kondi Nova</v>
      </c>
      <c r="F165" s="261" t="s">
        <v>359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s="228" customFormat="1" ht="15.75" customHeight="1">
      <c r="A166" s="16" t="s">
        <v>1355</v>
      </c>
      <c r="B166" s="9" t="str">
        <f>VLOOKUP(J166,data!C:AQ,28,0)</f>
        <v>Podkovičáková Věra</v>
      </c>
      <c r="C166" s="10"/>
      <c r="D166" s="11" t="s">
        <v>1356</v>
      </c>
      <c r="E166" s="17">
        <f>VLOOKUP(J166,data!C:D,2,0)</f>
        <v>5</v>
      </c>
      <c r="F166" s="262"/>
      <c r="G166" s="2"/>
      <c r="H166" s="2"/>
      <c r="I166" s="2"/>
      <c r="J166" s="216">
        <v>34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s="228" customFormat="1" ht="4.5" customHeight="1">
      <c r="A167" s="2"/>
      <c r="B167" s="14"/>
      <c r="C167" s="2"/>
      <c r="D167" s="2"/>
      <c r="E167" s="2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s="228" customFormat="1" ht="12.75" customHeight="1">
      <c r="A168" s="3" t="s">
        <v>1353</v>
      </c>
      <c r="B168" s="20" t="str">
        <f>VLOOKUP(J169,data!C:AQ,16,0)</f>
        <v>Daisy</v>
      </c>
      <c r="C168" s="5"/>
      <c r="D168" s="6" t="s">
        <v>1354</v>
      </c>
      <c r="E168" s="7" t="str">
        <f>VLOOKUP(J169,data!C:AQ,17,0)</f>
        <v>Rumina Moravia</v>
      </c>
      <c r="F168" s="261" t="s">
        <v>359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s="228" customFormat="1" ht="15.75" customHeight="1">
      <c r="A169" s="16" t="s">
        <v>1355</v>
      </c>
      <c r="B169" s="9" t="str">
        <f>VLOOKUP(J169,data!C:AQ,28,0)</f>
        <v>Svatoň Jiří a David</v>
      </c>
      <c r="C169" s="10"/>
      <c r="D169" s="11" t="s">
        <v>1356</v>
      </c>
      <c r="E169" s="17">
        <f>VLOOKUP(J169,data!C:D,2,0)</f>
        <v>6</v>
      </c>
      <c r="F169" s="262"/>
      <c r="G169" s="2"/>
      <c r="H169" s="2"/>
      <c r="I169" s="2"/>
      <c r="J169" s="216">
        <v>35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s="228" customFormat="1" ht="4.5" customHeight="1">
      <c r="A170" s="2"/>
      <c r="B170" s="14"/>
      <c r="C170" s="2"/>
      <c r="D170" s="2"/>
      <c r="E170" s="2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s="228" customFormat="1" ht="12.75" customHeight="1">
      <c r="A171" s="3" t="s">
        <v>1353</v>
      </c>
      <c r="B171" s="20" t="str">
        <f>VLOOKUP(J172,data!C:AQ,16,0)</f>
        <v>Diara</v>
      </c>
      <c r="C171" s="5"/>
      <c r="D171" s="6" t="s">
        <v>1354</v>
      </c>
      <c r="E171" s="7" t="str">
        <f>VLOOKUP(J172,data!C:AQ,17,0)</f>
        <v>Atoza</v>
      </c>
      <c r="F171" s="261" t="s">
        <v>359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s="228" customFormat="1" ht="15.75" customHeight="1">
      <c r="A172" s="16" t="s">
        <v>1355</v>
      </c>
      <c r="B172" s="9" t="str">
        <f>VLOOKUP(J172,data!C:AQ,28,0)</f>
        <v>Svatoš Miroslav, MVDr.</v>
      </c>
      <c r="C172" s="10"/>
      <c r="D172" s="11" t="s">
        <v>1356</v>
      </c>
      <c r="E172" s="17">
        <f>VLOOKUP(J172,data!C:D,2,0)</f>
        <v>7</v>
      </c>
      <c r="F172" s="262"/>
      <c r="G172" s="2"/>
      <c r="H172" s="2"/>
      <c r="I172" s="2"/>
      <c r="J172" s="216">
        <v>36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s="228" customFormat="1" ht="4.5" customHeight="1">
      <c r="A173" s="2"/>
      <c r="B173" s="14"/>
      <c r="C173" s="2"/>
      <c r="D173" s="2"/>
      <c r="E173" s="2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s="228" customFormat="1" ht="12.75">
      <c r="A174" s="3" t="s">
        <v>1353</v>
      </c>
      <c r="B174" s="20" t="str">
        <f>VLOOKUP(J175,data!C:AQ,16,0)</f>
        <v>Kareah</v>
      </c>
      <c r="C174" s="5"/>
      <c r="D174" s="6" t="s">
        <v>1354</v>
      </c>
      <c r="E174" s="7" t="str">
        <f>VLOOKUP(J175,data!C:AQ,17,0)</f>
        <v>Anrebri</v>
      </c>
      <c r="F174" s="265" t="s">
        <v>359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s="228" customFormat="1">
      <c r="A175" s="16" t="s">
        <v>1355</v>
      </c>
      <c r="B175" s="9" t="str">
        <f>VLOOKUP(J175,data!C:AQ,28,0)</f>
        <v>Trnková Martina</v>
      </c>
      <c r="C175" s="10"/>
      <c r="D175" s="11" t="s">
        <v>1356</v>
      </c>
      <c r="E175" s="17">
        <f>VLOOKUP(J175,data!C:D,2,0)</f>
        <v>13</v>
      </c>
      <c r="F175" s="266"/>
      <c r="G175" s="2"/>
      <c r="H175" s="2"/>
      <c r="I175" s="2"/>
      <c r="J175" s="216">
        <v>42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s="228" customFormat="1" ht="4.5" customHeight="1">
      <c r="A176" s="2"/>
      <c r="B176" s="14"/>
      <c r="C176" s="2"/>
      <c r="D176" s="2"/>
      <c r="E176" s="2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s="228" customFormat="1" ht="12.75">
      <c r="A177" s="3" t="s">
        <v>1353</v>
      </c>
      <c r="B177" s="20" t="str">
        <f>VLOOKUP(J178,data!C:AQ,16,0)</f>
        <v>Xeni II.</v>
      </c>
      <c r="C177" s="5"/>
      <c r="D177" s="6" t="s">
        <v>1354</v>
      </c>
      <c r="E177" s="7" t="str">
        <f>VLOOKUP(J178,data!C:AQ,17,0)</f>
        <v>Z Podradbuzí</v>
      </c>
      <c r="F177" s="265" t="s">
        <v>359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s="228" customFormat="1">
      <c r="A178" s="16" t="s">
        <v>1355</v>
      </c>
      <c r="B178" s="9" t="str">
        <f>VLOOKUP(J178,data!C:AQ,28,0)</f>
        <v>Gill Václav</v>
      </c>
      <c r="C178" s="10"/>
      <c r="D178" s="11" t="s">
        <v>1356</v>
      </c>
      <c r="E178" s="17">
        <f>VLOOKUP(J178,data!C:D,2,0)</f>
        <v>26</v>
      </c>
      <c r="F178" s="266"/>
      <c r="G178" s="2"/>
      <c r="H178" s="2"/>
      <c r="I178" s="2"/>
      <c r="J178" s="216">
        <v>55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s="237" customFormat="1" ht="20.25">
      <c r="A179" s="240"/>
      <c r="B179" s="241"/>
      <c r="C179" s="242"/>
      <c r="D179" s="243"/>
      <c r="E179" s="244"/>
      <c r="F179" s="248"/>
      <c r="G179" s="235"/>
      <c r="H179" s="235"/>
      <c r="I179" s="235"/>
      <c r="J179" s="236"/>
      <c r="K179" s="235"/>
      <c r="L179" s="235"/>
      <c r="M179" s="235"/>
      <c r="N179" s="235"/>
      <c r="O179" s="235"/>
      <c r="P179" s="235"/>
      <c r="Q179" s="235"/>
      <c r="R179" s="235"/>
      <c r="S179" s="235"/>
      <c r="T179" s="235"/>
      <c r="U179" s="235"/>
      <c r="V179" s="235"/>
      <c r="W179" s="235"/>
      <c r="X179" s="235"/>
      <c r="Y179" s="235"/>
      <c r="Z179" s="235"/>
    </row>
    <row r="180" spans="1:26" s="228" customFormat="1" ht="23.25">
      <c r="A180" s="271" t="s">
        <v>1359</v>
      </c>
      <c r="B180" s="271"/>
      <c r="C180" s="271"/>
      <c r="D180" s="271"/>
      <c r="E180" s="27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s="237" customFormat="1" ht="4.5" customHeight="1">
      <c r="A181" s="240"/>
      <c r="B181" s="241"/>
      <c r="C181" s="242"/>
      <c r="D181" s="243"/>
      <c r="E181" s="244"/>
      <c r="F181" s="234"/>
      <c r="G181" s="235"/>
      <c r="H181" s="235"/>
      <c r="I181" s="235"/>
      <c r="J181" s="236"/>
      <c r="K181" s="235"/>
      <c r="L181" s="235"/>
      <c r="M181" s="235"/>
      <c r="N181" s="235"/>
      <c r="O181" s="235"/>
      <c r="P181" s="235"/>
      <c r="Q181" s="235"/>
      <c r="R181" s="235"/>
      <c r="S181" s="235"/>
      <c r="T181" s="235"/>
      <c r="U181" s="235"/>
      <c r="V181" s="235"/>
      <c r="W181" s="235"/>
      <c r="X181" s="235"/>
      <c r="Y181" s="235"/>
      <c r="Z181" s="235"/>
    </row>
    <row r="182" spans="1:26" s="228" customFormat="1" ht="12.75" customHeight="1">
      <c r="A182" s="3" t="s">
        <v>1353</v>
      </c>
      <c r="B182" s="20" t="str">
        <f>VLOOKUP(J183,data!C:AQ,16,0)</f>
        <v>Carmen</v>
      </c>
      <c r="C182" s="5"/>
      <c r="D182" s="6" t="s">
        <v>1354</v>
      </c>
      <c r="E182" s="7" t="str">
        <f>VLOOKUP(J183,data!C:AQ,17,0)</f>
        <v>Mir-Jar</v>
      </c>
      <c r="F182" s="267" t="s">
        <v>1760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s="228" customFormat="1" ht="27.75" customHeight="1">
      <c r="A183" s="16" t="s">
        <v>1355</v>
      </c>
      <c r="B183" s="9" t="str">
        <f>VLOOKUP(J183,data!C:AQ,28,0)</f>
        <v>Staniová Veronika</v>
      </c>
      <c r="C183" s="10"/>
      <c r="D183" s="11" t="s">
        <v>1356</v>
      </c>
      <c r="E183" s="17">
        <f>VLOOKUP(J183,data!C:D,2,0)</f>
        <v>31</v>
      </c>
      <c r="F183" s="268"/>
      <c r="G183" s="2"/>
      <c r="H183" s="2"/>
      <c r="I183" s="2"/>
      <c r="J183" s="216">
        <v>60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s="237" customFormat="1" ht="4.5" customHeight="1">
      <c r="A184" s="240"/>
      <c r="B184" s="241"/>
      <c r="C184" s="242"/>
      <c r="D184" s="243"/>
      <c r="E184" s="244"/>
      <c r="F184" s="234"/>
      <c r="G184" s="235"/>
      <c r="H184" s="235"/>
      <c r="I184" s="235"/>
      <c r="J184" s="236"/>
      <c r="K184" s="235"/>
      <c r="L184" s="235"/>
      <c r="M184" s="235"/>
      <c r="N184" s="235"/>
      <c r="O184" s="235"/>
      <c r="P184" s="235"/>
      <c r="Q184" s="235"/>
      <c r="R184" s="235"/>
      <c r="S184" s="235"/>
      <c r="T184" s="235"/>
      <c r="U184" s="235"/>
      <c r="V184" s="235"/>
      <c r="W184" s="235"/>
      <c r="X184" s="235"/>
      <c r="Y184" s="235"/>
      <c r="Z184" s="235"/>
    </row>
    <row r="185" spans="1:26" s="228" customFormat="1" ht="12.75" customHeight="1">
      <c r="A185" s="3" t="s">
        <v>1353</v>
      </c>
      <c r="B185" s="20" t="str">
        <f>VLOOKUP(J186,data!C:AQ,16,0)</f>
        <v>Alexis</v>
      </c>
      <c r="C185" s="5"/>
      <c r="D185" s="6" t="s">
        <v>1354</v>
      </c>
      <c r="E185" s="7" t="str">
        <f>VLOOKUP(J186,data!C:AQ,17,0)</f>
        <v>Danlo Bohemia</v>
      </c>
      <c r="F185" s="267" t="s">
        <v>1766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s="228" customFormat="1" ht="27.75" customHeight="1">
      <c r="A186" s="16" t="s">
        <v>1355</v>
      </c>
      <c r="B186" s="9" t="str">
        <f>VLOOKUP(J186,data!C:AQ,28,0)</f>
        <v>Burianová Dana</v>
      </c>
      <c r="C186" s="10"/>
      <c r="D186" s="11" t="s">
        <v>1356</v>
      </c>
      <c r="E186" s="17">
        <f>VLOOKUP(J186,data!C:D,2,0)</f>
        <v>30</v>
      </c>
      <c r="F186" s="268"/>
      <c r="G186" s="2"/>
      <c r="H186" s="2"/>
      <c r="I186" s="2"/>
      <c r="J186" s="216">
        <v>59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s="237" customFormat="1" ht="4.5" customHeight="1">
      <c r="A187" s="240"/>
      <c r="B187" s="241"/>
      <c r="C187" s="242"/>
      <c r="D187" s="243"/>
      <c r="E187" s="244"/>
      <c r="F187" s="234"/>
      <c r="G187" s="235"/>
      <c r="H187" s="235"/>
      <c r="I187" s="235"/>
      <c r="J187" s="236"/>
      <c r="K187" s="235"/>
      <c r="L187" s="235"/>
      <c r="M187" s="235"/>
      <c r="N187" s="235"/>
      <c r="O187" s="235"/>
      <c r="P187" s="235"/>
      <c r="Q187" s="235"/>
      <c r="R187" s="235"/>
      <c r="S187" s="235"/>
      <c r="T187" s="235"/>
      <c r="U187" s="235"/>
      <c r="V187" s="235"/>
      <c r="W187" s="235"/>
      <c r="X187" s="235"/>
      <c r="Y187" s="235"/>
      <c r="Z187" s="235"/>
    </row>
    <row r="188" spans="1:26" s="228" customFormat="1" ht="12.75">
      <c r="A188" s="3" t="s">
        <v>1353</v>
      </c>
      <c r="B188" s="20" t="str">
        <f>VLOOKUP(J189,data!C:AQ,16,0)</f>
        <v>Akkiera</v>
      </c>
      <c r="C188" s="5"/>
      <c r="D188" s="6" t="s">
        <v>1354</v>
      </c>
      <c r="E188" s="7" t="str">
        <f>VLOOKUP(J189,data!C:AQ,17,0)</f>
        <v>Z Třemošenského údolí</v>
      </c>
      <c r="F188" s="265" t="s">
        <v>1763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s="228" customFormat="1">
      <c r="A189" s="16" t="s">
        <v>1355</v>
      </c>
      <c r="B189" s="9" t="str">
        <f>VLOOKUP(J189,data!C:AQ,28,0)</f>
        <v xml:space="preserve">Pikl Marián </v>
      </c>
      <c r="C189" s="10"/>
      <c r="D189" s="11" t="s">
        <v>1356</v>
      </c>
      <c r="E189" s="17">
        <f>VLOOKUP(J189,data!C:D,2,0)</f>
        <v>29</v>
      </c>
      <c r="F189" s="266"/>
      <c r="G189" s="2"/>
      <c r="H189" s="2"/>
      <c r="I189" s="2"/>
      <c r="J189" s="216">
        <v>58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s="237" customFormat="1" ht="4.5" customHeight="1">
      <c r="A190" s="240"/>
      <c r="B190" s="241"/>
      <c r="C190" s="242"/>
      <c r="D190" s="243"/>
      <c r="E190" s="244"/>
      <c r="F190" s="234"/>
      <c r="G190" s="235"/>
      <c r="H190" s="235"/>
      <c r="I190" s="235"/>
      <c r="J190" s="236"/>
      <c r="K190" s="235"/>
      <c r="L190" s="235"/>
      <c r="M190" s="235"/>
      <c r="N190" s="235"/>
      <c r="O190" s="235"/>
      <c r="P190" s="235"/>
      <c r="Q190" s="235"/>
      <c r="R190" s="235"/>
      <c r="S190" s="235"/>
      <c r="T190" s="235"/>
      <c r="U190" s="235"/>
      <c r="V190" s="235"/>
      <c r="W190" s="235"/>
      <c r="X190" s="235"/>
      <c r="Y190" s="235"/>
      <c r="Z190" s="235"/>
    </row>
    <row r="191" spans="1:26" s="228" customFormat="1" ht="12.75">
      <c r="A191" s="3" t="s">
        <v>1353</v>
      </c>
      <c r="B191" s="20" t="str">
        <f>VLOOKUP(J192,data!C:AQ,16,0)</f>
        <v>Megi</v>
      </c>
      <c r="C191" s="5"/>
      <c r="D191" s="6" t="s">
        <v>1354</v>
      </c>
      <c r="E191" s="7" t="str">
        <f>VLOOKUP(J192,data!C:AQ,17,0)</f>
        <v>Plzeňský park</v>
      </c>
      <c r="F191" s="265" t="s">
        <v>1768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s="228" customFormat="1">
      <c r="A192" s="16" t="s">
        <v>1355</v>
      </c>
      <c r="B192" s="9" t="str">
        <f>VLOOKUP(J192,data!C:AQ,28,0)</f>
        <v>Kašpar Jaroslav</v>
      </c>
      <c r="C192" s="10"/>
      <c r="D192" s="11" t="s">
        <v>1356</v>
      </c>
      <c r="E192" s="17">
        <f>VLOOKUP(J192,data!C:D,2,0)</f>
        <v>33</v>
      </c>
      <c r="F192" s="266"/>
      <c r="G192" s="2"/>
      <c r="H192" s="2"/>
      <c r="I192" s="2"/>
      <c r="J192" s="216">
        <v>62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s="237" customFormat="1" ht="4.5" customHeight="1">
      <c r="A193" s="240"/>
      <c r="B193" s="241"/>
      <c r="C193" s="242"/>
      <c r="D193" s="243"/>
      <c r="E193" s="244"/>
      <c r="F193" s="234"/>
      <c r="G193" s="235"/>
      <c r="H193" s="235"/>
      <c r="I193" s="235"/>
      <c r="J193" s="236"/>
      <c r="K193" s="235"/>
      <c r="L193" s="235"/>
      <c r="M193" s="235"/>
      <c r="N193" s="235"/>
      <c r="O193" s="235"/>
      <c r="P193" s="235"/>
      <c r="Q193" s="235"/>
      <c r="R193" s="235"/>
      <c r="S193" s="235"/>
      <c r="T193" s="235"/>
      <c r="U193" s="235"/>
      <c r="V193" s="235"/>
      <c r="W193" s="235"/>
      <c r="X193" s="235"/>
      <c r="Y193" s="235"/>
      <c r="Z193" s="235"/>
    </row>
    <row r="194" spans="1:26" s="228" customFormat="1" ht="12.75">
      <c r="A194" s="3" t="s">
        <v>1353</v>
      </c>
      <c r="B194" s="20" t="str">
        <f>VLOOKUP(J195,data!C:AQ,16,0)</f>
        <v>Leontýnka</v>
      </c>
      <c r="C194" s="5"/>
      <c r="D194" s="6" t="s">
        <v>1354</v>
      </c>
      <c r="E194" s="7" t="str">
        <f>VLOOKUP(J195,data!C:AQ,17,0)</f>
        <v>Půnoční měsíc</v>
      </c>
      <c r="F194" s="265" t="s">
        <v>359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s="228" customFormat="1">
      <c r="A195" s="16" t="s">
        <v>1355</v>
      </c>
      <c r="B195" s="9" t="str">
        <f>VLOOKUP(J195,data!C:AQ,28,0)</f>
        <v>Kloučková Kateřina</v>
      </c>
      <c r="C195" s="10"/>
      <c r="D195" s="11" t="s">
        <v>1356</v>
      </c>
      <c r="E195" s="17">
        <f>VLOOKUP(J195,data!C:D,2,0)</f>
        <v>32</v>
      </c>
      <c r="F195" s="266"/>
      <c r="G195" s="2"/>
      <c r="H195" s="2"/>
      <c r="I195" s="2"/>
      <c r="J195" s="216">
        <v>61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s="237" customFormat="1" ht="20.25">
      <c r="A196" s="240"/>
      <c r="B196" s="241"/>
      <c r="C196" s="242"/>
      <c r="D196" s="243"/>
      <c r="E196" s="244"/>
      <c r="F196" s="234"/>
      <c r="G196" s="235"/>
      <c r="H196" s="235"/>
      <c r="I196" s="235"/>
      <c r="J196" s="236"/>
      <c r="K196" s="235"/>
      <c r="L196" s="235"/>
      <c r="M196" s="235"/>
      <c r="N196" s="235"/>
      <c r="O196" s="235"/>
      <c r="P196" s="235"/>
      <c r="Q196" s="235"/>
      <c r="R196" s="235"/>
      <c r="S196" s="235"/>
      <c r="T196" s="235"/>
      <c r="U196" s="235"/>
      <c r="V196" s="235"/>
      <c r="W196" s="235"/>
      <c r="X196" s="235"/>
      <c r="Y196" s="235"/>
      <c r="Z196" s="235"/>
    </row>
    <row r="197" spans="1:26" ht="30" customHeight="1">
      <c r="A197" s="271" t="s">
        <v>1360</v>
      </c>
      <c r="B197" s="270"/>
      <c r="C197" s="270"/>
      <c r="D197" s="270"/>
      <c r="E197" s="27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s="237" customFormat="1" ht="20.25">
      <c r="A198" s="240"/>
      <c r="B198" s="241"/>
      <c r="C198" s="242"/>
      <c r="D198" s="243"/>
      <c r="E198" s="244"/>
      <c r="F198" s="234"/>
      <c r="G198" s="235"/>
      <c r="H198" s="235"/>
      <c r="I198" s="235"/>
      <c r="J198" s="236"/>
      <c r="K198" s="235"/>
      <c r="L198" s="235"/>
      <c r="M198" s="235"/>
      <c r="N198" s="235"/>
      <c r="O198" s="235"/>
      <c r="P198" s="235"/>
      <c r="Q198" s="235"/>
      <c r="R198" s="235"/>
      <c r="S198" s="235"/>
      <c r="T198" s="235"/>
      <c r="U198" s="235"/>
      <c r="V198" s="235"/>
      <c r="W198" s="235"/>
      <c r="X198" s="235"/>
      <c r="Y198" s="235"/>
      <c r="Z198" s="235"/>
    </row>
    <row r="199" spans="1:26" s="228" customFormat="1" ht="12.75">
      <c r="A199" s="3" t="s">
        <v>1353</v>
      </c>
      <c r="B199" s="20" t="str">
        <f>VLOOKUP(J200,data!C:AQ,16,0)</f>
        <v>Cooper</v>
      </c>
      <c r="C199" s="5"/>
      <c r="D199" s="6" t="s">
        <v>1354</v>
      </c>
      <c r="E199" s="7" t="str">
        <f>VLOOKUP(J200,data!C:AQ,17,0)</f>
        <v>Gard Bohemia</v>
      </c>
      <c r="F199" s="265" t="s">
        <v>1739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s="228" customFormat="1">
      <c r="A200" s="18" t="s">
        <v>1355</v>
      </c>
      <c r="B200" s="9" t="str">
        <f>VLOOKUP(J200,data!C:AQ,28,0)</f>
        <v>Pekárek Marian</v>
      </c>
      <c r="C200" s="10"/>
      <c r="D200" s="11" t="s">
        <v>1356</v>
      </c>
      <c r="E200" s="12">
        <f>VLOOKUP(J200,data!C:D,2,0)</f>
        <v>31</v>
      </c>
      <c r="F200" s="266"/>
      <c r="G200" s="2"/>
      <c r="H200" s="2"/>
      <c r="I200" s="2"/>
      <c r="J200" s="216">
        <v>64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s="237" customFormat="1" ht="4.5" customHeight="1">
      <c r="A201" s="240"/>
      <c r="B201" s="241"/>
      <c r="C201" s="242"/>
      <c r="D201" s="243"/>
      <c r="E201" s="244"/>
      <c r="F201" s="234"/>
      <c r="G201" s="235"/>
      <c r="H201" s="235"/>
      <c r="I201" s="235"/>
      <c r="J201" s="236"/>
      <c r="K201" s="235"/>
      <c r="L201" s="235"/>
      <c r="M201" s="235"/>
      <c r="N201" s="235"/>
      <c r="O201" s="235"/>
      <c r="P201" s="235"/>
      <c r="Q201" s="235"/>
      <c r="R201" s="235"/>
      <c r="S201" s="235"/>
      <c r="T201" s="235"/>
      <c r="U201" s="235"/>
      <c r="V201" s="235"/>
      <c r="W201" s="235"/>
      <c r="X201" s="235"/>
      <c r="Y201" s="235"/>
      <c r="Z201" s="235"/>
    </row>
    <row r="202" spans="1:26" s="228" customFormat="1" ht="12.75">
      <c r="A202" s="3" t="s">
        <v>1353</v>
      </c>
      <c r="B202" s="20" t="str">
        <f>VLOOKUP(J203,data!C:AQ,16,0)</f>
        <v>Decado</v>
      </c>
      <c r="C202" s="5"/>
      <c r="D202" s="6" t="s">
        <v>1354</v>
      </c>
      <c r="E202" s="7" t="str">
        <f>VLOOKUP(J203,data!C:AQ,17,0)</f>
        <v>Sandau-Bohemia</v>
      </c>
      <c r="F202" s="265" t="s">
        <v>1742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s="228" customFormat="1">
      <c r="A203" s="16" t="s">
        <v>1355</v>
      </c>
      <c r="B203" s="9" t="str">
        <f>VLOOKUP(J203,data!C:AQ,28,0)</f>
        <v>Marek Michal</v>
      </c>
      <c r="C203" s="10"/>
      <c r="D203" s="11" t="s">
        <v>1356</v>
      </c>
      <c r="E203" s="12">
        <f>VLOOKUP(J203,data!C:D,2,0)</f>
        <v>32</v>
      </c>
      <c r="F203" s="266"/>
      <c r="G203" s="2"/>
      <c r="H203" s="2"/>
      <c r="I203" s="2"/>
      <c r="J203" s="216">
        <v>65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s="237" customFormat="1" ht="4.5" customHeight="1">
      <c r="A204" s="240"/>
      <c r="B204" s="241"/>
      <c r="C204" s="242"/>
      <c r="D204" s="243"/>
      <c r="E204" s="244"/>
      <c r="F204" s="234"/>
      <c r="G204" s="235"/>
      <c r="H204" s="235"/>
      <c r="I204" s="235"/>
      <c r="J204" s="236"/>
      <c r="K204" s="235"/>
      <c r="L204" s="235"/>
      <c r="M204" s="235"/>
      <c r="N204" s="235"/>
      <c r="O204" s="235"/>
      <c r="P204" s="235"/>
      <c r="Q204" s="235"/>
      <c r="R204" s="235"/>
      <c r="S204" s="235"/>
      <c r="T204" s="235"/>
      <c r="U204" s="235"/>
      <c r="V204" s="235"/>
      <c r="W204" s="235"/>
      <c r="X204" s="235"/>
      <c r="Y204" s="235"/>
      <c r="Z204" s="235"/>
    </row>
    <row r="205" spans="1:26" s="228" customFormat="1" ht="12.75">
      <c r="A205" s="3" t="s">
        <v>1353</v>
      </c>
      <c r="B205" s="20" t="str">
        <f>VLOOKUP(J206,data!C:AQ,16,0)</f>
        <v>Yankee</v>
      </c>
      <c r="C205" s="5"/>
      <c r="D205" s="6" t="s">
        <v>1354</v>
      </c>
      <c r="E205" s="7" t="str">
        <f>VLOOKUP(J206,data!C:AQ,17,0)</f>
        <v>Hartis Bohemia</v>
      </c>
      <c r="F205" s="265" t="s">
        <v>1741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s="228" customFormat="1">
      <c r="A206" s="16" t="s">
        <v>1355</v>
      </c>
      <c r="B206" s="9" t="str">
        <f>VLOOKUP(J206,data!C:AQ,28,0)</f>
        <v>Šimna Miroslav</v>
      </c>
      <c r="C206" s="10"/>
      <c r="D206" s="11" t="s">
        <v>1356</v>
      </c>
      <c r="E206" s="12">
        <f>VLOOKUP(J206,data!C:D,2,0)</f>
        <v>39</v>
      </c>
      <c r="F206" s="266"/>
      <c r="G206" s="2"/>
      <c r="H206" s="2"/>
      <c r="I206" s="2"/>
      <c r="J206" s="216">
        <v>72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s="237" customFormat="1" ht="4.5" customHeight="1">
      <c r="A207" s="240"/>
      <c r="B207" s="241"/>
      <c r="C207" s="242"/>
      <c r="D207" s="243"/>
      <c r="E207" s="244"/>
      <c r="F207" s="234"/>
      <c r="G207" s="235"/>
      <c r="H207" s="235"/>
      <c r="I207" s="235"/>
      <c r="J207" s="236"/>
      <c r="K207" s="235"/>
      <c r="L207" s="235"/>
      <c r="M207" s="235"/>
      <c r="N207" s="235"/>
      <c r="O207" s="235"/>
      <c r="P207" s="235"/>
      <c r="Q207" s="235"/>
      <c r="R207" s="235"/>
      <c r="S207" s="235"/>
      <c r="T207" s="235"/>
      <c r="U207" s="235"/>
      <c r="V207" s="235"/>
      <c r="W207" s="235"/>
      <c r="X207" s="235"/>
      <c r="Y207" s="235"/>
      <c r="Z207" s="235"/>
    </row>
    <row r="208" spans="1:26" s="228" customFormat="1" ht="12.75">
      <c r="A208" s="3" t="s">
        <v>1353</v>
      </c>
      <c r="B208" s="20" t="str">
        <f>VLOOKUP(J209,data!C:AQ,16,0)</f>
        <v>Griff</v>
      </c>
      <c r="C208" s="5"/>
      <c r="D208" s="6" t="s">
        <v>1354</v>
      </c>
      <c r="E208" s="7" t="str">
        <f>VLOOKUP(J209,data!C:AQ,17,0)</f>
        <v>Rumina Moravia</v>
      </c>
      <c r="F208" s="265" t="s">
        <v>1748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s="228" customFormat="1">
      <c r="A209" s="16" t="s">
        <v>1355</v>
      </c>
      <c r="B209" s="9" t="str">
        <f>VLOOKUP(J209,data!C:AQ,28,0)</f>
        <v>Svatoň Jiří a David</v>
      </c>
      <c r="C209" s="10"/>
      <c r="D209" s="11" t="s">
        <v>1356</v>
      </c>
      <c r="E209" s="12">
        <f>VLOOKUP(J209,data!C:D,2,0)</f>
        <v>34</v>
      </c>
      <c r="F209" s="266"/>
      <c r="G209" s="2"/>
      <c r="H209" s="2"/>
      <c r="I209" s="2"/>
      <c r="J209" s="216">
        <v>67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s="228" customFormat="1" ht="4.5" customHeight="1">
      <c r="A210" s="2"/>
      <c r="B210" s="14"/>
      <c r="C210" s="2"/>
      <c r="D210" s="2"/>
      <c r="E210" s="21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s="228" customFormat="1" ht="12.75">
      <c r="A211" s="3" t="s">
        <v>1353</v>
      </c>
      <c r="B211" s="20" t="str">
        <f>VLOOKUP(J212,data!C:AQ,16,0)</f>
        <v>Hawky</v>
      </c>
      <c r="C211" s="5"/>
      <c r="D211" s="6" t="s">
        <v>1354</v>
      </c>
      <c r="E211" s="7" t="str">
        <f>VLOOKUP(J212,data!C:AQ,17,0)</f>
        <v>vom Bierstadter Hof</v>
      </c>
      <c r="F211" s="265" t="s">
        <v>1744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s="228" customFormat="1">
      <c r="A212" s="16" t="s">
        <v>1355</v>
      </c>
      <c r="B212" s="9" t="str">
        <f>VLOOKUP(J212,data!C:AQ,28,0)</f>
        <v>Havelkova Michaela Maier</v>
      </c>
      <c r="C212" s="10"/>
      <c r="D212" s="11" t="s">
        <v>1356</v>
      </c>
      <c r="E212" s="12">
        <f>VLOOKUP(J212,data!C:D,2,0)</f>
        <v>35</v>
      </c>
      <c r="F212" s="266"/>
      <c r="G212" s="2"/>
      <c r="H212" s="2"/>
      <c r="I212" s="2"/>
      <c r="J212" s="216">
        <v>68</v>
      </c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s="237" customFormat="1" ht="4.5" customHeight="1">
      <c r="A213" s="240"/>
      <c r="B213" s="241"/>
      <c r="C213" s="242"/>
      <c r="D213" s="243"/>
      <c r="E213" s="244"/>
      <c r="F213" s="234"/>
      <c r="G213" s="235"/>
      <c r="H213" s="235"/>
      <c r="I213" s="235"/>
      <c r="J213" s="236"/>
      <c r="K213" s="235"/>
      <c r="L213" s="235"/>
      <c r="M213" s="235"/>
      <c r="N213" s="235"/>
      <c r="O213" s="235"/>
      <c r="P213" s="235"/>
      <c r="Q213" s="235"/>
      <c r="R213" s="235"/>
      <c r="S213" s="235"/>
      <c r="T213" s="235"/>
      <c r="U213" s="235"/>
      <c r="V213" s="235"/>
      <c r="W213" s="235"/>
      <c r="X213" s="235"/>
      <c r="Y213" s="235"/>
      <c r="Z213" s="235"/>
    </row>
    <row r="214" spans="1:26" s="228" customFormat="1" ht="12.75">
      <c r="A214" s="3" t="s">
        <v>1353</v>
      </c>
      <c r="B214" s="20" t="str">
        <f>VLOOKUP(J215,data!C:AQ,16,0)</f>
        <v>Yago</v>
      </c>
      <c r="C214" s="5"/>
      <c r="D214" s="6" t="s">
        <v>1354</v>
      </c>
      <c r="E214" s="7" t="str">
        <f>VLOOKUP(J215,data!C:AQ,17,0)</f>
        <v>Hartis Bohemia</v>
      </c>
      <c r="F214" s="265" t="s">
        <v>1750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s="228" customFormat="1">
      <c r="A215" s="16" t="s">
        <v>1355</v>
      </c>
      <c r="B215" s="9" t="str">
        <f>VLOOKUP(J215,data!C:AQ,28,0)</f>
        <v>Horynová Zuzana</v>
      </c>
      <c r="C215" s="10"/>
      <c r="D215" s="11" t="s">
        <v>1356</v>
      </c>
      <c r="E215" s="12">
        <f>VLOOKUP(J215,data!C:D,2,0)</f>
        <v>38</v>
      </c>
      <c r="F215" s="266"/>
      <c r="G215" s="2"/>
      <c r="H215" s="2"/>
      <c r="I215" s="2"/>
      <c r="J215" s="216">
        <v>71</v>
      </c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s="237" customFormat="1" ht="4.5" customHeight="1">
      <c r="A216" s="240"/>
      <c r="B216" s="241"/>
      <c r="C216" s="242"/>
      <c r="D216" s="243"/>
      <c r="E216" s="244"/>
      <c r="F216" s="234"/>
      <c r="G216" s="235"/>
      <c r="H216" s="235"/>
      <c r="I216" s="235"/>
      <c r="J216" s="236"/>
      <c r="K216" s="235"/>
      <c r="L216" s="235"/>
      <c r="M216" s="235"/>
      <c r="N216" s="235"/>
      <c r="O216" s="235"/>
      <c r="P216" s="235"/>
      <c r="Q216" s="235"/>
      <c r="R216" s="235"/>
      <c r="S216" s="235"/>
      <c r="T216" s="235"/>
      <c r="U216" s="235"/>
      <c r="V216" s="235"/>
      <c r="W216" s="235"/>
      <c r="X216" s="235"/>
      <c r="Y216" s="235"/>
      <c r="Z216" s="235"/>
    </row>
    <row r="217" spans="1:26" s="228" customFormat="1" ht="12.75">
      <c r="A217" s="3" t="s">
        <v>1353</v>
      </c>
      <c r="B217" s="20" t="str">
        <f>VLOOKUP(J218,data!C:AQ,16,0)</f>
        <v xml:space="preserve">CAiron </v>
      </c>
      <c r="C217" s="5"/>
      <c r="D217" s="6" t="s">
        <v>1354</v>
      </c>
      <c r="E217" s="7" t="str">
        <f>VLOOKUP(J218,data!C:AQ,17,0)</f>
        <v>Bri-JAck</v>
      </c>
      <c r="F217" s="265" t="s">
        <v>1749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s="228" customFormat="1">
      <c r="A218" s="18" t="s">
        <v>1355</v>
      </c>
      <c r="B218" s="9" t="str">
        <f>VLOOKUP(J218,data!C:AQ,28,0)</f>
        <v>Prokopová Monika</v>
      </c>
      <c r="C218" s="10"/>
      <c r="D218" s="11" t="s">
        <v>1356</v>
      </c>
      <c r="E218" s="12">
        <f>VLOOKUP(J218,data!C:D,2,0)</f>
        <v>30</v>
      </c>
      <c r="F218" s="266"/>
      <c r="G218" s="2"/>
      <c r="H218" s="2"/>
      <c r="I218" s="2"/>
      <c r="J218" s="216">
        <v>63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s="237" customFormat="1" ht="4.5" customHeight="1">
      <c r="A219" s="240"/>
      <c r="B219" s="241"/>
      <c r="C219" s="242"/>
      <c r="D219" s="243"/>
      <c r="E219" s="244"/>
      <c r="F219" s="234"/>
      <c r="G219" s="235"/>
      <c r="H219" s="235"/>
      <c r="I219" s="235"/>
      <c r="J219" s="236"/>
      <c r="K219" s="235"/>
      <c r="L219" s="235"/>
      <c r="M219" s="235"/>
      <c r="N219" s="235"/>
      <c r="O219" s="235"/>
      <c r="P219" s="235"/>
      <c r="Q219" s="235"/>
      <c r="R219" s="235"/>
      <c r="S219" s="235"/>
      <c r="T219" s="235"/>
      <c r="U219" s="235"/>
      <c r="V219" s="235"/>
      <c r="W219" s="235"/>
      <c r="X219" s="235"/>
      <c r="Y219" s="235"/>
      <c r="Z219" s="235"/>
    </row>
    <row r="220" spans="1:26" s="228" customFormat="1" ht="12.75">
      <c r="A220" s="3" t="s">
        <v>1353</v>
      </c>
      <c r="B220" s="20" t="str">
        <f>VLOOKUP(J221,data!C:AQ,16,0)</f>
        <v>Derry</v>
      </c>
      <c r="C220" s="5"/>
      <c r="D220" s="6" t="s">
        <v>1354</v>
      </c>
      <c r="E220" s="7" t="str">
        <f>VLOOKUP(J221,data!C:AQ,17,0)</f>
        <v>Bri-Jack</v>
      </c>
      <c r="F220" s="265" t="s">
        <v>1746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s="228" customFormat="1">
      <c r="A221" s="16" t="s">
        <v>1355</v>
      </c>
      <c r="B221" s="9" t="str">
        <f>VLOOKUP(J221,data!C:AQ,28,0)</f>
        <v>Hemzska Renata</v>
      </c>
      <c r="C221" s="10"/>
      <c r="D221" s="11" t="s">
        <v>1356</v>
      </c>
      <c r="E221" s="12">
        <f>VLOOKUP(J221,data!C:D,2,0)</f>
        <v>33</v>
      </c>
      <c r="F221" s="266"/>
      <c r="G221" s="2"/>
      <c r="H221" s="2"/>
      <c r="I221" s="2"/>
      <c r="J221" s="216">
        <v>66</v>
      </c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s="237" customFormat="1" ht="4.5" customHeight="1">
      <c r="A222" s="240"/>
      <c r="B222" s="241"/>
      <c r="C222" s="242"/>
      <c r="D222" s="243"/>
      <c r="E222" s="244"/>
      <c r="F222" s="234"/>
      <c r="G222" s="235"/>
      <c r="H222" s="235"/>
      <c r="I222" s="235"/>
      <c r="J222" s="236"/>
      <c r="K222" s="235"/>
      <c r="L222" s="235"/>
      <c r="M222" s="235"/>
      <c r="N222" s="235"/>
      <c r="O222" s="235"/>
      <c r="P222" s="235"/>
      <c r="Q222" s="235"/>
      <c r="R222" s="235"/>
      <c r="S222" s="235"/>
      <c r="T222" s="235"/>
      <c r="U222" s="235"/>
      <c r="V222" s="235"/>
      <c r="W222" s="235"/>
      <c r="X222" s="235"/>
      <c r="Y222" s="235"/>
      <c r="Z222" s="235"/>
    </row>
    <row r="223" spans="1:26" s="228" customFormat="1" ht="12.75">
      <c r="A223" s="3" t="s">
        <v>1353</v>
      </c>
      <c r="B223" s="20" t="str">
        <f>VLOOKUP(J224,data!C:AQ,16,0)</f>
        <v xml:space="preserve">Umek </v>
      </c>
      <c r="C223" s="5"/>
      <c r="D223" s="6" t="s">
        <v>1354</v>
      </c>
      <c r="E223" s="7" t="str">
        <f>VLOOKUP(J224,data!C:AQ,17,0)</f>
        <v>z Tuháňské fary</v>
      </c>
      <c r="F223" s="265" t="s">
        <v>1747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s="228" customFormat="1">
      <c r="A224" s="16" t="s">
        <v>1355</v>
      </c>
      <c r="B224" s="9" t="str">
        <f>VLOOKUP(J224,data!C:AQ,28,0)</f>
        <v>Kutnar Pavel</v>
      </c>
      <c r="C224" s="10"/>
      <c r="D224" s="11" t="s">
        <v>1356</v>
      </c>
      <c r="E224" s="12">
        <f>VLOOKUP(J224,data!C:D,2,0)</f>
        <v>36</v>
      </c>
      <c r="F224" s="266"/>
      <c r="G224" s="2"/>
      <c r="H224" s="2"/>
      <c r="I224" s="2"/>
      <c r="J224" s="216">
        <v>69</v>
      </c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s="237" customFormat="1" ht="4.5" customHeight="1">
      <c r="A225" s="240"/>
      <c r="B225" s="241"/>
      <c r="C225" s="242"/>
      <c r="D225" s="243"/>
      <c r="E225" s="244"/>
      <c r="F225" s="234"/>
      <c r="G225" s="235"/>
      <c r="H225" s="235"/>
      <c r="I225" s="235"/>
      <c r="J225" s="236"/>
      <c r="K225" s="235"/>
      <c r="L225" s="235"/>
      <c r="M225" s="235"/>
      <c r="N225" s="235"/>
      <c r="O225" s="235"/>
      <c r="P225" s="235"/>
      <c r="Q225" s="235"/>
      <c r="R225" s="235"/>
      <c r="S225" s="235"/>
      <c r="T225" s="235"/>
      <c r="U225" s="235"/>
      <c r="V225" s="235"/>
      <c r="W225" s="235"/>
      <c r="X225" s="235"/>
      <c r="Y225" s="235"/>
      <c r="Z225" s="235"/>
    </row>
    <row r="226" spans="1:26" s="228" customFormat="1" ht="12.75">
      <c r="A226" s="3" t="s">
        <v>1353</v>
      </c>
      <c r="B226" s="20" t="str">
        <f>VLOOKUP(J227,data!C:AQ,16,0)</f>
        <v>Vello</v>
      </c>
      <c r="C226" s="5"/>
      <c r="D226" s="6" t="s">
        <v>1354</v>
      </c>
      <c r="E226" s="7" t="str">
        <f>VLOOKUP(J227,data!C:AQ,17,0)</f>
        <v>vom EICHENPLATZ</v>
      </c>
      <c r="F226" s="265" t="s">
        <v>359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s="228" customFormat="1">
      <c r="A227" s="16" t="s">
        <v>1355</v>
      </c>
      <c r="B227" s="9" t="str">
        <f>VLOOKUP(J227,data!C:AQ,28,0)</f>
        <v>Janatová Štěpánka</v>
      </c>
      <c r="C227" s="10"/>
      <c r="D227" s="11" t="s">
        <v>1356</v>
      </c>
      <c r="E227" s="12">
        <f>VLOOKUP(J227,data!C:D,2,0)</f>
        <v>37</v>
      </c>
      <c r="F227" s="266"/>
      <c r="G227" s="2"/>
      <c r="H227" s="2"/>
      <c r="I227" s="2"/>
      <c r="J227" s="216">
        <v>70</v>
      </c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s="237" customFormat="1" ht="20.25">
      <c r="A228" s="240"/>
      <c r="B228" s="241"/>
      <c r="C228" s="242"/>
      <c r="D228" s="243"/>
      <c r="E228" s="244"/>
      <c r="F228" s="234"/>
      <c r="G228" s="235"/>
      <c r="H228" s="235"/>
      <c r="I228" s="235"/>
      <c r="J228" s="236"/>
      <c r="K228" s="235"/>
      <c r="L228" s="235"/>
      <c r="M228" s="235"/>
      <c r="N228" s="235"/>
      <c r="O228" s="235"/>
      <c r="P228" s="235"/>
      <c r="Q228" s="235"/>
      <c r="R228" s="235"/>
      <c r="S228" s="235"/>
      <c r="T228" s="235"/>
      <c r="U228" s="235"/>
      <c r="V228" s="235"/>
      <c r="W228" s="235"/>
      <c r="X228" s="235"/>
      <c r="Y228" s="235"/>
      <c r="Z228" s="235"/>
    </row>
    <row r="229" spans="1:26" ht="23.25">
      <c r="A229" s="271" t="s">
        <v>1361</v>
      </c>
      <c r="B229" s="270"/>
      <c r="C229" s="270"/>
      <c r="D229" s="270"/>
      <c r="E229" s="270"/>
      <c r="F229" s="2"/>
      <c r="G229" s="2"/>
      <c r="H229" s="2"/>
      <c r="I229" s="2"/>
      <c r="J229" s="1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s="237" customFormat="1" ht="20.25">
      <c r="A230" s="240"/>
      <c r="B230" s="241"/>
      <c r="C230" s="242"/>
      <c r="D230" s="243"/>
      <c r="E230" s="244"/>
      <c r="F230" s="234"/>
      <c r="G230" s="235"/>
      <c r="H230" s="235"/>
      <c r="I230" s="235"/>
      <c r="J230" s="236"/>
      <c r="K230" s="235"/>
      <c r="L230" s="235"/>
      <c r="M230" s="235"/>
      <c r="N230" s="235"/>
      <c r="O230" s="235"/>
      <c r="P230" s="235"/>
      <c r="Q230" s="235"/>
      <c r="R230" s="235"/>
      <c r="S230" s="235"/>
      <c r="T230" s="235"/>
      <c r="U230" s="235"/>
      <c r="V230" s="235"/>
      <c r="W230" s="235"/>
      <c r="X230" s="235"/>
      <c r="Y230" s="235"/>
      <c r="Z230" s="235"/>
    </row>
    <row r="231" spans="1:26" s="228" customFormat="1" ht="12.75">
      <c r="A231" s="3" t="s">
        <v>1353</v>
      </c>
      <c r="B231" s="20" t="str">
        <f>VLOOKUP(J232,data!C:AQ,16,0)</f>
        <v>Uxa</v>
      </c>
      <c r="C231" s="5"/>
      <c r="D231" s="6" t="s">
        <v>1354</v>
      </c>
      <c r="E231" s="7" t="str">
        <f>VLOOKUP(J232,data!C:AQ,17,0)</f>
        <v>Geodis</v>
      </c>
      <c r="F231" s="265" t="s">
        <v>1739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s="228" customFormat="1">
      <c r="A232" s="16" t="s">
        <v>1355</v>
      </c>
      <c r="B232" s="9" t="str">
        <f>VLOOKUP(J232,data!C:AQ,28,0)</f>
        <v>Gladiš Pavel</v>
      </c>
      <c r="C232" s="10"/>
      <c r="D232" s="11" t="s">
        <v>1356</v>
      </c>
      <c r="E232" s="17">
        <f>VLOOKUP(J232,data!C:D,2,0)</f>
        <v>47</v>
      </c>
      <c r="F232" s="266"/>
      <c r="G232" s="2"/>
      <c r="H232" s="2"/>
      <c r="I232" s="2"/>
      <c r="J232" s="216">
        <v>86</v>
      </c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s="237" customFormat="1" ht="4.5" customHeight="1">
      <c r="A233" s="240"/>
      <c r="B233" s="241"/>
      <c r="C233" s="242"/>
      <c r="D233" s="243"/>
      <c r="E233" s="244"/>
      <c r="F233" s="234"/>
      <c r="G233" s="235"/>
      <c r="H233" s="235"/>
      <c r="I233" s="235"/>
      <c r="J233" s="236"/>
      <c r="K233" s="235"/>
      <c r="L233" s="235"/>
      <c r="M233" s="235"/>
      <c r="N233" s="235"/>
      <c r="O233" s="235"/>
      <c r="P233" s="235"/>
      <c r="Q233" s="235"/>
      <c r="R233" s="235"/>
      <c r="S233" s="235"/>
      <c r="T233" s="235"/>
      <c r="U233" s="235"/>
      <c r="V233" s="235"/>
      <c r="W233" s="235"/>
      <c r="X233" s="235"/>
      <c r="Y233" s="235"/>
      <c r="Z233" s="235"/>
    </row>
    <row r="234" spans="1:26" s="228" customFormat="1" ht="12.75">
      <c r="A234" s="3" t="s">
        <v>1353</v>
      </c>
      <c r="B234" s="20" t="str">
        <f>VLOOKUP(J235,data!C:AQ,16,0)</f>
        <v>Xarra</v>
      </c>
      <c r="C234" s="5"/>
      <c r="D234" s="6" t="s">
        <v>1354</v>
      </c>
      <c r="E234" s="7" t="str">
        <f>VLOOKUP(J235,data!C:AQ,17,0)</f>
        <v>Hartis Bohemia</v>
      </c>
      <c r="F234" s="265" t="s">
        <v>1742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s="228" customFormat="1">
      <c r="A235" s="16" t="s">
        <v>1355</v>
      </c>
      <c r="B235" s="9" t="str">
        <f>VLOOKUP(J235,data!C:AQ,28,0)</f>
        <v>Bartošová Petra</v>
      </c>
      <c r="C235" s="10"/>
      <c r="D235" s="11" t="s">
        <v>1356</v>
      </c>
      <c r="E235" s="17">
        <f>VLOOKUP(J235,data!C:D,2,0)</f>
        <v>51</v>
      </c>
      <c r="F235" s="266"/>
      <c r="G235" s="2"/>
      <c r="H235" s="2"/>
      <c r="I235" s="2"/>
      <c r="J235" s="216">
        <v>90</v>
      </c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s="237" customFormat="1" ht="4.5" customHeight="1">
      <c r="A236" s="240"/>
      <c r="B236" s="241"/>
      <c r="C236" s="242"/>
      <c r="D236" s="243"/>
      <c r="E236" s="244"/>
      <c r="F236" s="234"/>
      <c r="G236" s="235"/>
      <c r="H236" s="235"/>
      <c r="I236" s="235"/>
      <c r="J236" s="236"/>
      <c r="K236" s="235"/>
      <c r="L236" s="235"/>
      <c r="M236" s="235"/>
      <c r="N236" s="235"/>
      <c r="O236" s="235"/>
      <c r="P236" s="235"/>
      <c r="Q236" s="235"/>
      <c r="R236" s="235"/>
      <c r="S236" s="235"/>
      <c r="T236" s="235"/>
      <c r="U236" s="235"/>
      <c r="V236" s="235"/>
      <c r="W236" s="235"/>
      <c r="X236" s="235"/>
      <c r="Y236" s="235"/>
      <c r="Z236" s="235"/>
    </row>
    <row r="237" spans="1:26" s="228" customFormat="1" ht="12.75">
      <c r="A237" s="3" t="s">
        <v>1353</v>
      </c>
      <c r="B237" s="20" t="str">
        <f>VLOOKUP(J238,data!C:AQ,16,0)</f>
        <v>Clia</v>
      </c>
      <c r="C237" s="5"/>
      <c r="D237" s="6" t="s">
        <v>1354</v>
      </c>
      <c r="E237" s="7" t="str">
        <f>VLOOKUP(J238,data!C:AQ,17,0)</f>
        <v>Gard Bohemia</v>
      </c>
      <c r="F237" s="265" t="s">
        <v>1741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s="228" customFormat="1">
      <c r="A238" s="16" t="s">
        <v>1355</v>
      </c>
      <c r="B238" s="9" t="str">
        <f>VLOOKUP(J238,data!C:AQ,28,0)</f>
        <v>Pekárek Marian</v>
      </c>
      <c r="C238" s="10"/>
      <c r="D238" s="11" t="s">
        <v>1356</v>
      </c>
      <c r="E238" s="17">
        <f>VLOOKUP(J238,data!C:D,2,0)</f>
        <v>38</v>
      </c>
      <c r="F238" s="266"/>
      <c r="G238" s="2"/>
      <c r="H238" s="2"/>
      <c r="I238" s="2"/>
      <c r="J238" s="216">
        <v>77</v>
      </c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s="237" customFormat="1" ht="4.5" customHeight="1">
      <c r="A239" s="240"/>
      <c r="B239" s="241"/>
      <c r="C239" s="242"/>
      <c r="D239" s="243"/>
      <c r="E239" s="244"/>
      <c r="F239" s="234"/>
      <c r="G239" s="235"/>
      <c r="H239" s="235"/>
      <c r="I239" s="235"/>
      <c r="J239" s="236"/>
      <c r="K239" s="235"/>
      <c r="L239" s="235"/>
      <c r="M239" s="235"/>
      <c r="N239" s="235"/>
      <c r="O239" s="235"/>
      <c r="P239" s="235"/>
      <c r="Q239" s="235"/>
      <c r="R239" s="235"/>
      <c r="S239" s="235"/>
      <c r="T239" s="235"/>
      <c r="U239" s="235"/>
      <c r="V239" s="235"/>
      <c r="W239" s="235"/>
      <c r="X239" s="235"/>
      <c r="Y239" s="235"/>
      <c r="Z239" s="235"/>
    </row>
    <row r="240" spans="1:26" s="228" customFormat="1" ht="12.75">
      <c r="A240" s="3" t="s">
        <v>1353</v>
      </c>
      <c r="B240" s="20" t="str">
        <f>VLOOKUP(J241,data!C:AQ,16,0)</f>
        <v>Xtra</v>
      </c>
      <c r="C240" s="5"/>
      <c r="D240" s="6" t="s">
        <v>1354</v>
      </c>
      <c r="E240" s="7" t="str">
        <f>VLOOKUP(J241,data!C:AQ,17,0)</f>
        <v>v. Türkenkopf</v>
      </c>
      <c r="F240" s="265" t="s">
        <v>1748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s="228" customFormat="1">
      <c r="A241" s="16" t="s">
        <v>1355</v>
      </c>
      <c r="B241" s="9" t="str">
        <f>VLOOKUP(J241,data!C:AQ,28,0)</f>
        <v>Zahradníková Barbora</v>
      </c>
      <c r="C241" s="10"/>
      <c r="D241" s="11" t="s">
        <v>1356</v>
      </c>
      <c r="E241" s="17">
        <f>VLOOKUP(J241,data!C:D,2,0)</f>
        <v>52</v>
      </c>
      <c r="F241" s="266"/>
      <c r="G241" s="2"/>
      <c r="H241" s="2"/>
      <c r="I241" s="2"/>
      <c r="J241" s="216">
        <v>91</v>
      </c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s="237" customFormat="1" ht="4.5" customHeight="1">
      <c r="A242" s="240"/>
      <c r="B242" s="241"/>
      <c r="C242" s="242"/>
      <c r="D242" s="243"/>
      <c r="E242" s="244"/>
      <c r="F242" s="234"/>
      <c r="G242" s="235"/>
      <c r="H242" s="235"/>
      <c r="I242" s="235"/>
      <c r="J242" s="236"/>
      <c r="K242" s="235"/>
      <c r="L242" s="235"/>
      <c r="M242" s="235"/>
      <c r="N242" s="235"/>
      <c r="O242" s="235"/>
      <c r="P242" s="235"/>
      <c r="Q242" s="235"/>
      <c r="R242" s="235"/>
      <c r="S242" s="235"/>
      <c r="T242" s="235"/>
      <c r="U242" s="235"/>
      <c r="V242" s="235"/>
      <c r="W242" s="235"/>
      <c r="X242" s="235"/>
      <c r="Y242" s="235"/>
      <c r="Z242" s="235"/>
    </row>
    <row r="243" spans="1:26" s="228" customFormat="1" ht="12.75">
      <c r="A243" s="3" t="s">
        <v>1353</v>
      </c>
      <c r="B243" s="20" t="str">
        <f>VLOOKUP(J244,data!C:AQ,16,0)</f>
        <v>Greis</v>
      </c>
      <c r="C243" s="5"/>
      <c r="D243" s="6" t="s">
        <v>1354</v>
      </c>
      <c r="E243" s="7" t="str">
        <f>VLOOKUP(J244,data!C:AQ,17,0)</f>
        <v>Rumina Moravia</v>
      </c>
      <c r="F243" s="265" t="s">
        <v>1744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s="228" customFormat="1">
      <c r="A244" s="16" t="s">
        <v>1355</v>
      </c>
      <c r="B244" s="9" t="str">
        <f>VLOOKUP(J244,data!C:AQ,28,0)</f>
        <v>Svatoň Jiří a David</v>
      </c>
      <c r="C244" s="10"/>
      <c r="D244" s="11" t="s">
        <v>1356</v>
      </c>
      <c r="E244" s="17">
        <f>VLOOKUP(J244,data!C:D,2,0)</f>
        <v>41</v>
      </c>
      <c r="F244" s="266"/>
      <c r="G244" s="2"/>
      <c r="H244" s="2"/>
      <c r="I244" s="2"/>
      <c r="J244" s="216">
        <v>80</v>
      </c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s="237" customFormat="1" ht="4.5" customHeight="1">
      <c r="A245" s="240"/>
      <c r="B245" s="241"/>
      <c r="C245" s="242"/>
      <c r="D245" s="243"/>
      <c r="E245" s="244"/>
      <c r="F245" s="234"/>
      <c r="G245" s="235"/>
      <c r="H245" s="235"/>
      <c r="I245" s="235"/>
      <c r="J245" s="236"/>
      <c r="K245" s="235"/>
      <c r="L245" s="235"/>
      <c r="M245" s="235"/>
      <c r="N245" s="235"/>
      <c r="O245" s="235"/>
      <c r="P245" s="235"/>
      <c r="Q245" s="235"/>
      <c r="R245" s="235"/>
      <c r="S245" s="235"/>
      <c r="T245" s="235"/>
      <c r="U245" s="235"/>
      <c r="V245" s="235"/>
      <c r="W245" s="235"/>
      <c r="X245" s="235"/>
      <c r="Y245" s="235"/>
      <c r="Z245" s="235"/>
    </row>
    <row r="246" spans="1:26" s="255" customFormat="1" ht="12.75">
      <c r="A246" s="3" t="s">
        <v>1353</v>
      </c>
      <c r="B246" s="20" t="str">
        <f>VLOOKUP(J247,data!C:AQ,16,0)</f>
        <v>U Tayra</v>
      </c>
      <c r="C246" s="5"/>
      <c r="D246" s="6" t="s">
        <v>1354</v>
      </c>
      <c r="E246" s="7" t="str">
        <f>VLOOKUP(J247,data!C:AQ,17,0)</f>
        <v>Mir-Jar</v>
      </c>
      <c r="F246" s="265" t="s">
        <v>1750</v>
      </c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s="255" customFormat="1">
      <c r="A247" s="16" t="s">
        <v>1355</v>
      </c>
      <c r="B247" s="9" t="str">
        <f>VLOOKUP(J247,data!C:AQ,28,0)</f>
        <v>Půža Jiří</v>
      </c>
      <c r="C247" s="10"/>
      <c r="D247" s="11" t="s">
        <v>1356</v>
      </c>
      <c r="E247" s="17">
        <f>VLOOKUP(J247,data!C:D,2,0)</f>
        <v>46</v>
      </c>
      <c r="F247" s="266"/>
      <c r="G247" s="2"/>
      <c r="H247" s="2"/>
      <c r="I247" s="2"/>
      <c r="J247" s="216">
        <v>85</v>
      </c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s="237" customFormat="1" ht="4.5" customHeight="1">
      <c r="A248" s="240"/>
      <c r="B248" s="241"/>
      <c r="C248" s="242"/>
      <c r="D248" s="243"/>
      <c r="E248" s="244"/>
      <c r="F248" s="234"/>
      <c r="G248" s="235"/>
      <c r="H248" s="235"/>
      <c r="I248" s="235"/>
      <c r="J248" s="236"/>
      <c r="K248" s="235"/>
      <c r="L248" s="235"/>
      <c r="M248" s="235"/>
      <c r="N248" s="235"/>
      <c r="O248" s="235"/>
      <c r="P248" s="235"/>
      <c r="Q248" s="235"/>
      <c r="R248" s="235"/>
      <c r="S248" s="235"/>
      <c r="T248" s="235"/>
      <c r="U248" s="235"/>
      <c r="V248" s="235"/>
      <c r="W248" s="235"/>
      <c r="X248" s="235"/>
      <c r="Y248" s="235"/>
      <c r="Z248" s="235"/>
    </row>
    <row r="249" spans="1:26" s="228" customFormat="1" ht="12.75">
      <c r="A249" s="3" t="s">
        <v>1353</v>
      </c>
      <c r="B249" s="20" t="str">
        <f>VLOOKUP(J250,data!C:AQ,16,0)</f>
        <v>Xanta</v>
      </c>
      <c r="C249" s="5"/>
      <c r="D249" s="6" t="s">
        <v>1354</v>
      </c>
      <c r="E249" s="7" t="str">
        <f>VLOOKUP(J250,data!C:AQ,17,0)</f>
        <v>Hartis Bohemia</v>
      </c>
      <c r="F249" s="265" t="s">
        <v>1749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s="228" customFormat="1">
      <c r="A250" s="16" t="s">
        <v>1355</v>
      </c>
      <c r="B250" s="9" t="str">
        <f>VLOOKUP(J250,data!C:AQ,28,0)</f>
        <v>Bartošová Petra</v>
      </c>
      <c r="C250" s="10"/>
      <c r="D250" s="11" t="s">
        <v>1356</v>
      </c>
      <c r="E250" s="17">
        <f>VLOOKUP(J250,data!C:D,2,0)</f>
        <v>50</v>
      </c>
      <c r="F250" s="266"/>
      <c r="G250" s="2"/>
      <c r="H250" s="2"/>
      <c r="I250" s="2"/>
      <c r="J250" s="216">
        <v>89</v>
      </c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s="237" customFormat="1" ht="4.5" customHeight="1">
      <c r="A251" s="240"/>
      <c r="B251" s="241"/>
      <c r="C251" s="242"/>
      <c r="D251" s="243"/>
      <c r="E251" s="244"/>
      <c r="F251" s="234"/>
      <c r="G251" s="235"/>
      <c r="H251" s="235"/>
      <c r="I251" s="235"/>
      <c r="J251" s="236"/>
      <c r="K251" s="235"/>
      <c r="L251" s="235"/>
      <c r="M251" s="235"/>
      <c r="N251" s="235"/>
      <c r="O251" s="235"/>
      <c r="P251" s="235"/>
      <c r="Q251" s="235"/>
      <c r="R251" s="235"/>
      <c r="S251" s="235"/>
      <c r="T251" s="235"/>
      <c r="U251" s="235"/>
      <c r="V251" s="235"/>
      <c r="W251" s="235"/>
      <c r="X251" s="235"/>
      <c r="Y251" s="235"/>
      <c r="Z251" s="235"/>
    </row>
    <row r="252" spans="1:26" s="228" customFormat="1" ht="12.75">
      <c r="A252" s="3" t="s">
        <v>1353</v>
      </c>
      <c r="B252" s="20" t="str">
        <f>VLOOKUP(J253,data!C:AQ,16,0)</f>
        <v>Bria</v>
      </c>
      <c r="C252" s="5"/>
      <c r="D252" s="6" t="s">
        <v>1354</v>
      </c>
      <c r="E252" s="7" t="str">
        <f>VLOOKUP(J253,data!C:AQ,17,0)</f>
        <v>Vantaris</v>
      </c>
      <c r="F252" s="265" t="s">
        <v>1746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s="228" customFormat="1">
      <c r="A253" s="16" t="s">
        <v>1355</v>
      </c>
      <c r="B253" s="9" t="str">
        <f>VLOOKUP(J253,data!C:AQ,28,0)</f>
        <v>Jerychová Jaroslava</v>
      </c>
      <c r="C253" s="10"/>
      <c r="D253" s="11" t="s">
        <v>1356</v>
      </c>
      <c r="E253" s="17">
        <f>VLOOKUP(J253,data!C:D,2,0)</f>
        <v>36</v>
      </c>
      <c r="F253" s="266"/>
      <c r="G253" s="2"/>
      <c r="H253" s="2"/>
      <c r="I253" s="2"/>
      <c r="J253" s="216">
        <v>75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s="237" customFormat="1" ht="4.5" customHeight="1">
      <c r="A254" s="240"/>
      <c r="B254" s="241"/>
      <c r="C254" s="242"/>
      <c r="D254" s="243"/>
      <c r="E254" s="244"/>
      <c r="F254" s="234"/>
      <c r="G254" s="235"/>
      <c r="H254" s="235"/>
      <c r="I254" s="235"/>
      <c r="J254" s="236"/>
      <c r="K254" s="235"/>
      <c r="L254" s="235"/>
      <c r="M254" s="235"/>
      <c r="N254" s="235"/>
      <c r="O254" s="235"/>
      <c r="P254" s="235"/>
      <c r="Q254" s="235"/>
      <c r="R254" s="235"/>
      <c r="S254" s="235"/>
      <c r="T254" s="235"/>
      <c r="U254" s="235"/>
      <c r="V254" s="235"/>
      <c r="W254" s="235"/>
      <c r="X254" s="235"/>
      <c r="Y254" s="235"/>
      <c r="Z254" s="235"/>
    </row>
    <row r="255" spans="1:26" s="228" customFormat="1" ht="12.75">
      <c r="A255" s="3" t="s">
        <v>1353</v>
      </c>
      <c r="B255" s="20" t="str">
        <f>VLOOKUP(J256,data!C:AQ,16,0)</f>
        <v>Angie</v>
      </c>
      <c r="C255" s="5"/>
      <c r="D255" s="6" t="s">
        <v>1354</v>
      </c>
      <c r="E255" s="7" t="str">
        <f>VLOOKUP(J256,data!C:AQ,17,0)</f>
        <v>Best of the Gods</v>
      </c>
      <c r="F255" s="265" t="s">
        <v>1747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s="228" customFormat="1">
      <c r="A256" s="16" t="s">
        <v>1355</v>
      </c>
      <c r="B256" s="9" t="str">
        <f>VLOOKUP(J256,data!C:AQ,28,0)</f>
        <v>Pelantová Nikol</v>
      </c>
      <c r="C256" s="10"/>
      <c r="D256" s="11" t="s">
        <v>1356</v>
      </c>
      <c r="E256" s="17">
        <f>VLOOKUP(J256,data!C:D,2,0)</f>
        <v>34</v>
      </c>
      <c r="F256" s="266"/>
      <c r="G256" s="2"/>
      <c r="H256" s="2"/>
      <c r="I256" s="2"/>
      <c r="J256" s="216">
        <v>73</v>
      </c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s="237" customFormat="1" ht="4.5" customHeight="1">
      <c r="A257" s="240"/>
      <c r="B257" s="241"/>
      <c r="C257" s="242"/>
      <c r="D257" s="243"/>
      <c r="E257" s="244"/>
      <c r="F257" s="234"/>
      <c r="G257" s="235"/>
      <c r="H257" s="235"/>
      <c r="I257" s="235"/>
      <c r="J257" s="236"/>
      <c r="K257" s="235"/>
      <c r="L257" s="235"/>
      <c r="M257" s="235"/>
      <c r="N257" s="235"/>
      <c r="O257" s="235"/>
      <c r="P257" s="235"/>
      <c r="Q257" s="235"/>
      <c r="R257" s="235"/>
      <c r="S257" s="235"/>
      <c r="T257" s="235"/>
      <c r="U257" s="235"/>
      <c r="V257" s="235"/>
      <c r="W257" s="235"/>
      <c r="X257" s="235"/>
      <c r="Y257" s="235"/>
      <c r="Z257" s="235"/>
    </row>
    <row r="258" spans="1:26" s="228" customFormat="1" ht="12.75">
      <c r="A258" s="3" t="s">
        <v>1353</v>
      </c>
      <c r="B258" s="20" t="str">
        <f>VLOOKUP(J259,data!C:AQ,16,0)</f>
        <v>Cipra</v>
      </c>
      <c r="C258" s="5"/>
      <c r="D258" s="6" t="s">
        <v>1354</v>
      </c>
      <c r="E258" s="7" t="str">
        <f>VLOOKUP(J259,data!C:AQ,17,0)</f>
        <v>King Regent</v>
      </c>
      <c r="F258" s="265" t="s">
        <v>1745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s="228" customFormat="1">
      <c r="A259" s="16" t="s">
        <v>1355</v>
      </c>
      <c r="B259" s="9" t="str">
        <f>VLOOKUP(J259,data!C:AQ,28,0)</f>
        <v>Bartušková Ivana</v>
      </c>
      <c r="C259" s="10"/>
      <c r="D259" s="11" t="s">
        <v>1356</v>
      </c>
      <c r="E259" s="17">
        <f>VLOOKUP(J259,data!C:D,2,0)</f>
        <v>37</v>
      </c>
      <c r="F259" s="266"/>
      <c r="G259" s="2"/>
      <c r="H259" s="2"/>
      <c r="I259" s="2"/>
      <c r="J259" s="216">
        <v>76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s="237" customFormat="1" ht="4.5" customHeight="1">
      <c r="A260" s="240"/>
      <c r="B260" s="241"/>
      <c r="C260" s="242"/>
      <c r="D260" s="243"/>
      <c r="E260" s="244"/>
      <c r="F260" s="234"/>
      <c r="G260" s="235"/>
      <c r="H260" s="235"/>
      <c r="I260" s="235"/>
      <c r="J260" s="236"/>
      <c r="K260" s="235"/>
      <c r="L260" s="235"/>
      <c r="M260" s="235"/>
      <c r="N260" s="235"/>
      <c r="O260" s="235"/>
      <c r="P260" s="235"/>
      <c r="Q260" s="235"/>
      <c r="R260" s="235"/>
      <c r="S260" s="235"/>
      <c r="T260" s="235"/>
      <c r="U260" s="235"/>
      <c r="V260" s="235"/>
      <c r="W260" s="235"/>
      <c r="X260" s="235"/>
      <c r="Y260" s="235"/>
      <c r="Z260" s="235"/>
    </row>
    <row r="261" spans="1:26" s="228" customFormat="1" ht="12.75">
      <c r="A261" s="3" t="s">
        <v>1353</v>
      </c>
      <c r="B261" s="20" t="str">
        <f>VLOOKUP(J262,data!C:AQ,16,0)</f>
        <v>Codeta</v>
      </c>
      <c r="C261" s="5"/>
      <c r="D261" s="6" t="s">
        <v>1354</v>
      </c>
      <c r="E261" s="7" t="str">
        <f>VLOOKUP(J262,data!C:AQ,17,0)</f>
        <v>Bri-JAck</v>
      </c>
      <c r="F261" s="265" t="s">
        <v>1751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s="228" customFormat="1">
      <c r="A262" s="16" t="s">
        <v>1355</v>
      </c>
      <c r="B262" s="9" t="str">
        <f>VLOOKUP(J262,data!C:AQ,28,0)</f>
        <v>Prokopová Monika</v>
      </c>
      <c r="C262" s="10"/>
      <c r="D262" s="11" t="s">
        <v>1356</v>
      </c>
      <c r="E262" s="17">
        <f>VLOOKUP(J262,data!C:D,2,0)</f>
        <v>39</v>
      </c>
      <c r="F262" s="266"/>
      <c r="G262" s="2"/>
      <c r="H262" s="2"/>
      <c r="I262" s="2"/>
      <c r="J262" s="216">
        <v>78</v>
      </c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s="237" customFormat="1" ht="4.5" customHeight="1">
      <c r="A263" s="240"/>
      <c r="B263" s="241"/>
      <c r="C263" s="242"/>
      <c r="D263" s="243"/>
      <c r="E263" s="244"/>
      <c r="F263" s="234"/>
      <c r="G263" s="235"/>
      <c r="H263" s="235"/>
      <c r="I263" s="235"/>
      <c r="J263" s="236"/>
      <c r="K263" s="235"/>
      <c r="L263" s="235"/>
      <c r="M263" s="235"/>
      <c r="N263" s="235"/>
      <c r="O263" s="235"/>
      <c r="P263" s="235"/>
      <c r="Q263" s="235"/>
      <c r="R263" s="235"/>
      <c r="S263" s="235"/>
      <c r="T263" s="235"/>
      <c r="U263" s="235"/>
      <c r="V263" s="235"/>
      <c r="W263" s="235"/>
      <c r="X263" s="235"/>
      <c r="Y263" s="235"/>
      <c r="Z263" s="235"/>
    </row>
    <row r="264" spans="1:26" s="228" customFormat="1" ht="12.75">
      <c r="A264" s="3" t="s">
        <v>1353</v>
      </c>
      <c r="B264" s="20" t="str">
        <f>VLOOKUP(J265,data!C:AQ,16,0)</f>
        <v>Mia</v>
      </c>
      <c r="C264" s="5"/>
      <c r="D264" s="6" t="s">
        <v>1354</v>
      </c>
      <c r="E264" s="7" t="str">
        <f>VLOOKUP(J265,data!C:AQ,17,0)</f>
        <v>Antonika</v>
      </c>
      <c r="F264" s="265" t="s">
        <v>1752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s="228" customFormat="1">
      <c r="A265" s="16" t="s">
        <v>1355</v>
      </c>
      <c r="B265" s="9" t="str">
        <f>VLOOKUP(J265,data!C:AQ,28,0)</f>
        <v>Plšková M., RNDr.</v>
      </c>
      <c r="C265" s="10"/>
      <c r="D265" s="11" t="s">
        <v>1356</v>
      </c>
      <c r="E265" s="17">
        <f>VLOOKUP(J265,data!C:D,2,0)</f>
        <v>43</v>
      </c>
      <c r="F265" s="266"/>
      <c r="G265" s="2"/>
      <c r="H265" s="2"/>
      <c r="I265" s="2"/>
      <c r="J265" s="216">
        <v>82</v>
      </c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s="237" customFormat="1" ht="4.5" customHeight="1">
      <c r="A266" s="240"/>
      <c r="B266" s="241"/>
      <c r="C266" s="242"/>
      <c r="D266" s="243"/>
      <c r="E266" s="244"/>
      <c r="F266" s="234"/>
      <c r="G266" s="235"/>
      <c r="H266" s="235"/>
      <c r="I266" s="235"/>
      <c r="J266" s="236"/>
      <c r="K266" s="235"/>
      <c r="L266" s="235"/>
      <c r="M266" s="235"/>
      <c r="N266" s="235"/>
      <c r="O266" s="235"/>
      <c r="P266" s="235"/>
      <c r="Q266" s="235"/>
      <c r="R266" s="235"/>
      <c r="S266" s="235"/>
      <c r="T266" s="235"/>
      <c r="U266" s="235"/>
      <c r="V266" s="235"/>
      <c r="W266" s="235"/>
      <c r="X266" s="235"/>
      <c r="Y266" s="235"/>
      <c r="Z266" s="235"/>
    </row>
    <row r="267" spans="1:26" s="228" customFormat="1" ht="12.75">
      <c r="A267" s="3" t="s">
        <v>1353</v>
      </c>
      <c r="B267" s="20" t="str">
        <f>VLOOKUP(J268,data!C:AQ,16,0)</f>
        <v>Bella</v>
      </c>
      <c r="C267" s="5"/>
      <c r="D267" s="6" t="s">
        <v>1354</v>
      </c>
      <c r="E267" s="7" t="str">
        <f>VLOOKUP(J268,data!C:AQ,17,0)</f>
        <v>di Grande Torrente</v>
      </c>
      <c r="F267" s="265" t="s">
        <v>359</v>
      </c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s="228" customFormat="1">
      <c r="A268" s="16" t="s">
        <v>1355</v>
      </c>
      <c r="B268" s="9" t="str">
        <f>VLOOKUP(J268,data!C:AQ,28,0)</f>
        <v>Šejdová Jana</v>
      </c>
      <c r="C268" s="10"/>
      <c r="D268" s="11" t="s">
        <v>1356</v>
      </c>
      <c r="E268" s="17">
        <f>VLOOKUP(J268,data!C:D,2,0)</f>
        <v>35</v>
      </c>
      <c r="F268" s="266"/>
      <c r="G268" s="2"/>
      <c r="H268" s="2"/>
      <c r="I268" s="2"/>
      <c r="J268" s="216">
        <v>74</v>
      </c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s="228" customFormat="1" ht="4.5" customHeight="1">
      <c r="A269" s="2"/>
      <c r="B269" s="14"/>
      <c r="C269" s="2"/>
      <c r="D269" s="2"/>
      <c r="E269" s="2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s="228" customFormat="1" ht="12.75">
      <c r="A270" s="3" t="s">
        <v>1353</v>
      </c>
      <c r="B270" s="20" t="str">
        <f>VLOOKUP(J271,data!C:AQ,16,0)</f>
        <v>Corny</v>
      </c>
      <c r="C270" s="5"/>
      <c r="D270" s="6" t="s">
        <v>1354</v>
      </c>
      <c r="E270" s="7" t="str">
        <f>VLOOKUP(J271,data!C:AQ,17,0)</f>
        <v>Best of the Gods</v>
      </c>
      <c r="F270" s="265" t="s">
        <v>359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s="228" customFormat="1">
      <c r="A271" s="16" t="s">
        <v>1355</v>
      </c>
      <c r="B271" s="9" t="str">
        <f>VLOOKUP(J271,data!C:AQ,28,0)</f>
        <v>Knížková Tereza a Eliška</v>
      </c>
      <c r="C271" s="10"/>
      <c r="D271" s="11" t="s">
        <v>1356</v>
      </c>
      <c r="E271" s="17">
        <f>VLOOKUP(J271,data!C:D,2,0)</f>
        <v>40</v>
      </c>
      <c r="F271" s="266"/>
      <c r="G271" s="2"/>
      <c r="H271" s="2"/>
      <c r="I271" s="2"/>
      <c r="J271" s="216">
        <v>79</v>
      </c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s="228" customFormat="1" ht="4.5" customHeight="1">
      <c r="A272" s="2"/>
      <c r="B272" s="14"/>
      <c r="C272" s="2"/>
      <c r="D272" s="2"/>
      <c r="E272" s="21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s="228" customFormat="1" ht="12.75">
      <c r="A273" s="3" t="s">
        <v>1353</v>
      </c>
      <c r="B273" s="20" t="str">
        <f>VLOOKUP(J274,data!C:AQ,16,0)</f>
        <v>Jeckye</v>
      </c>
      <c r="C273" s="5"/>
      <c r="D273" s="6" t="s">
        <v>1354</v>
      </c>
      <c r="E273" s="7" t="str">
        <f>VLOOKUP(J274,data!C:AQ,17,0)</f>
        <v>z Folinku</v>
      </c>
      <c r="F273" s="265" t="s">
        <v>359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s="228" customFormat="1">
      <c r="A274" s="16" t="s">
        <v>1355</v>
      </c>
      <c r="B274" s="9" t="str">
        <f>VLOOKUP(J274,data!C:AQ,28,0)</f>
        <v>Šejdová Jana</v>
      </c>
      <c r="C274" s="10"/>
      <c r="D274" s="11" t="s">
        <v>1356</v>
      </c>
      <c r="E274" s="17">
        <f>VLOOKUP(J274,data!C:D,2,0)</f>
        <v>42</v>
      </c>
      <c r="F274" s="266"/>
      <c r="G274" s="2"/>
      <c r="H274" s="2"/>
      <c r="I274" s="2"/>
      <c r="J274" s="216">
        <v>81</v>
      </c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s="228" customFormat="1" ht="4.5" customHeight="1">
      <c r="A275" s="2"/>
      <c r="B275" s="14"/>
      <c r="C275" s="2"/>
      <c r="D275" s="2"/>
      <c r="E275" s="21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s="228" customFormat="1" ht="12.75">
      <c r="A276" s="3" t="s">
        <v>1353</v>
      </c>
      <c r="B276" s="20" t="str">
        <f>VLOOKUP(J277,data!C:AQ,16,0)</f>
        <v xml:space="preserve">Orri </v>
      </c>
      <c r="C276" s="5"/>
      <c r="D276" s="6" t="s">
        <v>1354</v>
      </c>
      <c r="E276" s="7" t="str">
        <f>VLOOKUP(J277,data!C:AQ,17,0)</f>
        <v>Znerop</v>
      </c>
      <c r="F276" s="265" t="s">
        <v>359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s="228" customFormat="1">
      <c r="A277" s="16" t="s">
        <v>1355</v>
      </c>
      <c r="B277" s="9" t="str">
        <f>VLOOKUP(J277,data!C:AQ,28,0)</f>
        <v>Kuchařík Karel</v>
      </c>
      <c r="C277" s="10"/>
      <c r="D277" s="11" t="s">
        <v>1356</v>
      </c>
      <c r="E277" s="17">
        <f>VLOOKUP(J277,data!C:D,2,0)</f>
        <v>44</v>
      </c>
      <c r="F277" s="266"/>
      <c r="G277" s="2"/>
      <c r="H277" s="2"/>
      <c r="I277" s="2"/>
      <c r="J277" s="216">
        <v>83</v>
      </c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s="228" customFormat="1" ht="4.5" customHeight="1">
      <c r="A278" s="2"/>
      <c r="B278" s="14"/>
      <c r="C278" s="2"/>
      <c r="D278" s="2"/>
      <c r="E278" s="2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s="259" customFormat="1" ht="12.75" customHeight="1">
      <c r="A279" s="3" t="s">
        <v>1353</v>
      </c>
      <c r="B279" s="20" t="str">
        <f>VLOOKUP(J280,data!C:AQ,16,0)</f>
        <v xml:space="preserve">Renesmee </v>
      </c>
      <c r="C279" s="5"/>
      <c r="D279" s="6" t="s">
        <v>1354</v>
      </c>
      <c r="E279" s="7" t="str">
        <f>VLOOKUP(J280,data!C:AQ,17,0)</f>
        <v>RO-KOP Bohemia</v>
      </c>
      <c r="F279" s="265" t="s">
        <v>359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s="259" customFormat="1" ht="12.75" customHeight="1">
      <c r="A280" s="16" t="s">
        <v>1355</v>
      </c>
      <c r="B280" s="9" t="str">
        <f>VLOOKUP(J280,data!C:AQ,28,0)</f>
        <v>Kubíková Renata</v>
      </c>
      <c r="C280" s="10"/>
      <c r="D280" s="11" t="s">
        <v>1356</v>
      </c>
      <c r="E280" s="17">
        <f>VLOOKUP(J280,data!C:D,2,0)</f>
        <v>45</v>
      </c>
      <c r="F280" s="266"/>
      <c r="G280" s="2"/>
      <c r="H280" s="2"/>
      <c r="I280" s="2"/>
      <c r="J280" s="2">
        <v>84</v>
      </c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s="252" customFormat="1" ht="4.5" customHeight="1">
      <c r="A281" s="256"/>
      <c r="B281" s="223"/>
      <c r="C281" s="224"/>
      <c r="D281" s="225"/>
      <c r="E281" s="276"/>
      <c r="F281" s="258"/>
      <c r="G281" s="250"/>
      <c r="H281" s="250"/>
      <c r="I281" s="250"/>
      <c r="J281" s="250">
        <v>84</v>
      </c>
      <c r="K281" s="250"/>
      <c r="L281" s="250"/>
      <c r="M281" s="250"/>
      <c r="N281" s="250"/>
      <c r="O281" s="250"/>
      <c r="P281" s="250"/>
      <c r="Q281" s="250"/>
      <c r="R281" s="250"/>
      <c r="S281" s="250"/>
      <c r="T281" s="250"/>
      <c r="U281" s="250"/>
      <c r="V281" s="250"/>
      <c r="W281" s="250"/>
      <c r="X281" s="250"/>
      <c r="Y281" s="250"/>
      <c r="Z281" s="250"/>
    </row>
    <row r="282" spans="1:26" s="228" customFormat="1" ht="12.75">
      <c r="A282" s="3" t="s">
        <v>1353</v>
      </c>
      <c r="B282" s="20" t="str">
        <f>VLOOKUP(J283,data!C:AQ,16,0)</f>
        <v>Viboy</v>
      </c>
      <c r="C282" s="5"/>
      <c r="D282" s="6" t="s">
        <v>1354</v>
      </c>
      <c r="E282" s="7" t="str">
        <f>VLOOKUP(J283,data!C:AQ,17,0)</f>
        <v>vom Eichenplatz</v>
      </c>
      <c r="F282" s="265" t="s">
        <v>359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s="228" customFormat="1">
      <c r="A283" s="16" t="s">
        <v>1355</v>
      </c>
      <c r="B283" s="9" t="str">
        <f>VLOOKUP(J283,data!C:AQ,28,0)</f>
        <v>Kopeční Irena a Roman</v>
      </c>
      <c r="C283" s="10"/>
      <c r="D283" s="11" t="s">
        <v>1356</v>
      </c>
      <c r="E283" s="17">
        <f>VLOOKUP(J283,data!C:D,2,0)</f>
        <v>48</v>
      </c>
      <c r="F283" s="266"/>
      <c r="G283" s="2"/>
      <c r="H283" s="2"/>
      <c r="I283" s="2"/>
      <c r="J283" s="216">
        <v>87</v>
      </c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s="228" customFormat="1" ht="4.5" customHeight="1">
      <c r="A284" s="2"/>
      <c r="B284" s="14"/>
      <c r="C284" s="2"/>
      <c r="D284" s="2"/>
      <c r="E284" s="2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s="228" customFormat="1" ht="12.75">
      <c r="A285" s="3" t="s">
        <v>1353</v>
      </c>
      <c r="B285" s="20" t="str">
        <f>VLOOKUP(J286,data!C:AQ,16,0)</f>
        <v>Xaira</v>
      </c>
      <c r="C285" s="5"/>
      <c r="D285" s="6" t="s">
        <v>1354</v>
      </c>
      <c r="E285" s="7" t="str">
        <f>VLOOKUP(J286,data!C:AQ,17,0)</f>
        <v>Hartis Bohemia</v>
      </c>
      <c r="F285" s="265" t="s">
        <v>359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s="228" customFormat="1">
      <c r="A286" s="16" t="s">
        <v>1355</v>
      </c>
      <c r="B286" s="9" t="str">
        <f>VLOOKUP(J286,data!C:AQ,28,0)</f>
        <v>Melounová Helena, MVDr.</v>
      </c>
      <c r="C286" s="10"/>
      <c r="D286" s="11" t="s">
        <v>1356</v>
      </c>
      <c r="E286" s="17">
        <f>VLOOKUP(J286,data!C:D,2,0)</f>
        <v>49</v>
      </c>
      <c r="F286" s="266"/>
      <c r="G286" s="2"/>
      <c r="H286" s="2"/>
      <c r="I286" s="2"/>
      <c r="J286" s="216">
        <v>88</v>
      </c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s="237" customFormat="1" ht="20.25">
      <c r="A287" s="240"/>
      <c r="B287" s="241"/>
      <c r="C287" s="242"/>
      <c r="D287" s="243"/>
      <c r="E287" s="244"/>
      <c r="F287" s="234"/>
      <c r="G287" s="235"/>
      <c r="H287" s="235"/>
      <c r="I287" s="235"/>
      <c r="J287" s="236"/>
      <c r="K287" s="235"/>
      <c r="L287" s="235"/>
      <c r="M287" s="235"/>
      <c r="N287" s="235"/>
      <c r="O287" s="235"/>
      <c r="P287" s="235"/>
      <c r="Q287" s="235"/>
      <c r="R287" s="235"/>
      <c r="S287" s="235"/>
      <c r="T287" s="235"/>
      <c r="U287" s="235"/>
      <c r="V287" s="235"/>
      <c r="W287" s="235"/>
      <c r="X287" s="235"/>
      <c r="Y287" s="235"/>
      <c r="Z287" s="235"/>
    </row>
    <row r="288" spans="1:26" s="228" customFormat="1" ht="33" customHeight="1">
      <c r="A288" s="272" t="s">
        <v>1362</v>
      </c>
      <c r="B288" s="272"/>
      <c r="C288" s="272"/>
      <c r="D288" s="272"/>
      <c r="E288" s="27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s="228" customFormat="1" ht="12.75" customHeight="1">
      <c r="A289" s="3" t="s">
        <v>1353</v>
      </c>
      <c r="B289" s="20" t="str">
        <f>VLOOKUP(J290,data!C:AQ,16,0)</f>
        <v>Arre</v>
      </c>
      <c r="C289" s="5"/>
      <c r="D289" s="6" t="s">
        <v>1354</v>
      </c>
      <c r="E289" s="7" t="str">
        <f>VLOOKUP(J290,data!C:AQ,17,0)</f>
        <v>Hartis Bohemia</v>
      </c>
      <c r="F289" s="261" t="s">
        <v>1739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s="228" customFormat="1" ht="15.75" customHeight="1">
      <c r="A290" s="16" t="s">
        <v>1355</v>
      </c>
      <c r="B290" s="9" t="str">
        <f>VLOOKUP(J290,data!C:AQ,28,0)</f>
        <v>Melounová Helena, MVDr.</v>
      </c>
      <c r="C290" s="10"/>
      <c r="D290" s="11" t="s">
        <v>1356</v>
      </c>
      <c r="E290" s="12">
        <f>VLOOKUP(J290,data!C:D,2,0)</f>
        <v>40</v>
      </c>
      <c r="F290" s="262"/>
      <c r="G290" s="2"/>
      <c r="H290" s="2"/>
      <c r="I290" s="2"/>
      <c r="J290" s="216">
        <v>92</v>
      </c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s="228" customFormat="1" ht="4.5" customHeight="1">
      <c r="A291" s="2"/>
      <c r="B291" s="14"/>
      <c r="C291" s="2"/>
      <c r="D291" s="2"/>
      <c r="E291" s="2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s="228" customFormat="1" ht="12.75" customHeight="1">
      <c r="A292" s="3" t="s">
        <v>1353</v>
      </c>
      <c r="B292" s="20" t="str">
        <f>VLOOKUP(J293,data!C:AQ,16,0)</f>
        <v>Vito</v>
      </c>
      <c r="C292" s="5"/>
      <c r="D292" s="6" t="s">
        <v>1354</v>
      </c>
      <c r="E292" s="7" t="str">
        <f>VLOOKUP(J293,data!C:AQ,17,0)</f>
        <v>Geodis</v>
      </c>
      <c r="F292" s="261" t="s">
        <v>1742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s="228" customFormat="1" ht="15.75" customHeight="1">
      <c r="A293" s="16" t="s">
        <v>1355</v>
      </c>
      <c r="B293" s="9" t="str">
        <f>VLOOKUP(J293,data!C:AQ,28,0)</f>
        <v>Anderle Jaromír</v>
      </c>
      <c r="C293" s="10"/>
      <c r="D293" s="11" t="s">
        <v>1356</v>
      </c>
      <c r="E293" s="12">
        <f>VLOOKUP(J293,data!C:D,2,0)</f>
        <v>43</v>
      </c>
      <c r="F293" s="262"/>
      <c r="G293" s="2"/>
      <c r="H293" s="2"/>
      <c r="I293" s="2"/>
      <c r="J293" s="216">
        <v>95</v>
      </c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s="228" customFormat="1" ht="4.5" customHeight="1">
      <c r="A294" s="2"/>
      <c r="B294" s="14"/>
      <c r="C294" s="2"/>
      <c r="D294" s="2"/>
      <c r="E294" s="21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s="228" customFormat="1" ht="12.75" customHeight="1">
      <c r="A295" s="3" t="s">
        <v>1353</v>
      </c>
      <c r="B295" s="20" t="str">
        <f>VLOOKUP(J296,data!C:AQ,16,0)</f>
        <v>Vantom</v>
      </c>
      <c r="C295" s="5"/>
      <c r="D295" s="6" t="s">
        <v>1354</v>
      </c>
      <c r="E295" s="7" t="str">
        <f>VLOOKUP(J296,data!C:AQ,17,0)</f>
        <v>v. Holtkämper Hof</v>
      </c>
      <c r="F295" s="261" t="s">
        <v>1741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s="228" customFormat="1" ht="15.75" customHeight="1">
      <c r="A296" s="16" t="s">
        <v>1355</v>
      </c>
      <c r="B296" s="9" t="str">
        <f>VLOOKUP(J296,data!C:AQ,28,0)</f>
        <v>Zevl Jiří</v>
      </c>
      <c r="C296" s="10"/>
      <c r="D296" s="11" t="s">
        <v>1356</v>
      </c>
      <c r="E296" s="12">
        <f>VLOOKUP(J296,data!C:D,2,0)</f>
        <v>42</v>
      </c>
      <c r="F296" s="262"/>
      <c r="G296" s="2"/>
      <c r="H296" s="2"/>
      <c r="I296" s="2"/>
      <c r="J296" s="216">
        <v>94</v>
      </c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s="228" customFormat="1" ht="4.5" customHeight="1">
      <c r="A297" s="2"/>
      <c r="B297" s="14"/>
      <c r="C297" s="2"/>
      <c r="D297" s="2"/>
      <c r="E297" s="2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s="228" customFormat="1" ht="12.75">
      <c r="A298" s="3" t="s">
        <v>1353</v>
      </c>
      <c r="B298" s="20" t="str">
        <f>VLOOKUP(J299,data!C:AQ,16,0)</f>
        <v>Lee Jerry</v>
      </c>
      <c r="C298" s="5"/>
      <c r="D298" s="6" t="s">
        <v>1354</v>
      </c>
      <c r="E298" s="7" t="str">
        <f>VLOOKUP(J299,data!C:AQ,17,0)</f>
        <v>Red Hurricane</v>
      </c>
      <c r="F298" s="265" t="s">
        <v>1740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s="228" customFormat="1">
      <c r="A299" s="16" t="s">
        <v>1355</v>
      </c>
      <c r="B299" s="9" t="str">
        <f>VLOOKUP(J299,data!C:AQ,28,0)</f>
        <v>Kouřilová Petra</v>
      </c>
      <c r="C299" s="10"/>
      <c r="D299" s="11" t="s">
        <v>1356</v>
      </c>
      <c r="E299" s="12">
        <f>VLOOKUP(J299,data!C:D,2,0)</f>
        <v>41</v>
      </c>
      <c r="F299" s="266"/>
      <c r="G299" s="2"/>
      <c r="H299" s="2"/>
      <c r="I299" s="2"/>
      <c r="J299" s="216">
        <v>93</v>
      </c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s="237" customFormat="1" ht="20.25">
      <c r="A300" s="240"/>
      <c r="B300" s="241"/>
      <c r="C300" s="242"/>
      <c r="D300" s="243"/>
      <c r="E300" s="244"/>
      <c r="F300" s="234"/>
      <c r="G300" s="235"/>
      <c r="H300" s="235"/>
      <c r="I300" s="235"/>
      <c r="J300" s="236"/>
      <c r="K300" s="235"/>
      <c r="L300" s="235"/>
      <c r="M300" s="235"/>
      <c r="N300" s="235"/>
      <c r="O300" s="235"/>
      <c r="P300" s="235"/>
      <c r="Q300" s="235"/>
      <c r="R300" s="235"/>
      <c r="S300" s="235"/>
      <c r="T300" s="235"/>
      <c r="U300" s="235"/>
      <c r="V300" s="235"/>
      <c r="W300" s="235"/>
      <c r="X300" s="235"/>
      <c r="Y300" s="235"/>
      <c r="Z300" s="235"/>
    </row>
    <row r="301" spans="1:26" ht="23.25">
      <c r="A301" s="271" t="s">
        <v>1363</v>
      </c>
      <c r="B301" s="270"/>
      <c r="C301" s="270"/>
      <c r="D301" s="270"/>
      <c r="E301" s="27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4.5" customHeight="1">
      <c r="A302" s="2"/>
      <c r="B302" s="14"/>
      <c r="C302" s="2"/>
      <c r="D302" s="2"/>
      <c r="E302" s="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3" t="s">
        <v>1353</v>
      </c>
      <c r="B303" s="4" t="str">
        <f>VLOOKUP(J304,data!C:AQ,16,0)</f>
        <v>Ikon</v>
      </c>
      <c r="C303" s="5"/>
      <c r="D303" s="6" t="s">
        <v>1354</v>
      </c>
      <c r="E303" s="7" t="str">
        <f>VLOOKUP(J304,data!C:AQ,17,0)</f>
        <v>vom Haus Kaiser</v>
      </c>
      <c r="F303" s="261" t="s">
        <v>1739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16" t="s">
        <v>1355</v>
      </c>
      <c r="B304" s="9" t="str">
        <f>VLOOKUP(J304,data!C:AQ,28,0)</f>
        <v>Dauherty Terri</v>
      </c>
      <c r="C304" s="10"/>
      <c r="D304" s="11" t="s">
        <v>1356</v>
      </c>
      <c r="E304" s="12">
        <f>VLOOKUP(J304,data!C:D,2,0)</f>
        <v>46</v>
      </c>
      <c r="F304" s="262"/>
      <c r="G304" s="2"/>
      <c r="H304" s="2"/>
      <c r="I304" s="2"/>
      <c r="J304" s="13">
        <v>98</v>
      </c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4.5" customHeight="1">
      <c r="A305" s="2"/>
      <c r="B305" s="14"/>
      <c r="C305" s="2"/>
      <c r="D305" s="2"/>
      <c r="E305" s="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3" t="s">
        <v>1353</v>
      </c>
      <c r="B306" s="4" t="str">
        <f>VLOOKUP(J307,data!C:AQ,16,0)</f>
        <v>Izak</v>
      </c>
      <c r="C306" s="5"/>
      <c r="D306" s="6" t="s">
        <v>1354</v>
      </c>
      <c r="E306" s="7" t="str">
        <f>VLOOKUP(J307,data!C:AQ,17,0)</f>
        <v>vom Haus Kaiser</v>
      </c>
      <c r="F306" s="261" t="s">
        <v>1742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16" t="s">
        <v>1355</v>
      </c>
      <c r="B307" s="9" t="str">
        <f>VLOOKUP(J307,data!C:AQ,28,0)</f>
        <v>Dauherty Terri</v>
      </c>
      <c r="C307" s="10"/>
      <c r="D307" s="11" t="s">
        <v>1356</v>
      </c>
      <c r="E307" s="12">
        <f>VLOOKUP(J307,data!C:D,2,0)</f>
        <v>47</v>
      </c>
      <c r="F307" s="262"/>
      <c r="G307" s="2"/>
      <c r="H307" s="2"/>
      <c r="I307" s="2"/>
      <c r="J307" s="13">
        <v>99</v>
      </c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s="237" customFormat="1" ht="4.5" customHeight="1">
      <c r="A308" s="240"/>
      <c r="B308" s="241"/>
      <c r="C308" s="242"/>
      <c r="D308" s="243"/>
      <c r="E308" s="244"/>
      <c r="F308" s="234"/>
      <c r="G308" s="235"/>
      <c r="H308" s="235"/>
      <c r="I308" s="235"/>
      <c r="J308" s="236"/>
      <c r="K308" s="235"/>
      <c r="L308" s="235"/>
      <c r="M308" s="235"/>
      <c r="N308" s="235"/>
      <c r="O308" s="235"/>
      <c r="P308" s="235"/>
      <c r="Q308" s="235"/>
      <c r="R308" s="235"/>
      <c r="S308" s="235"/>
      <c r="T308" s="235"/>
      <c r="U308" s="235"/>
      <c r="V308" s="235"/>
      <c r="W308" s="235"/>
      <c r="X308" s="235"/>
      <c r="Y308" s="235"/>
      <c r="Z308" s="235"/>
    </row>
    <row r="309" spans="1:26" s="228" customFormat="1" ht="12.75">
      <c r="A309" s="3" t="s">
        <v>1353</v>
      </c>
      <c r="B309" s="20" t="str">
        <f>VLOOKUP(J310,data!C:AQ,16,0)</f>
        <v>Brutus</v>
      </c>
      <c r="C309" s="5"/>
      <c r="D309" s="6" t="s">
        <v>1354</v>
      </c>
      <c r="E309" s="7" t="str">
        <f>VLOOKUP(J310,data!C:AQ,17,0)</f>
        <v>Bohemia Marcol</v>
      </c>
      <c r="F309" s="265" t="s">
        <v>359</v>
      </c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s="228" customFormat="1">
      <c r="A310" s="16" t="s">
        <v>1355</v>
      </c>
      <c r="B310" s="9" t="str">
        <f>VLOOKUP(J310,data!C:AQ,28,0)</f>
        <v>Klímová Dagmar</v>
      </c>
      <c r="C310" s="10"/>
      <c r="D310" s="11" t="s">
        <v>1356</v>
      </c>
      <c r="E310" s="12">
        <f>VLOOKUP(J310,data!C:D,2,0)</f>
        <v>44</v>
      </c>
      <c r="F310" s="266"/>
      <c r="G310" s="2"/>
      <c r="H310" s="2"/>
      <c r="I310" s="2"/>
      <c r="J310" s="216">
        <v>96</v>
      </c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s="228" customFormat="1" ht="4.5" customHeight="1">
      <c r="A311" s="2"/>
      <c r="B311" s="14"/>
      <c r="C311" s="2"/>
      <c r="D311" s="2"/>
      <c r="E311" s="2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s="228" customFormat="1" ht="12.75">
      <c r="A312" s="3" t="s">
        <v>1353</v>
      </c>
      <c r="B312" s="20" t="str">
        <f>VLOOKUP(J313,data!C:AQ,16,0)</f>
        <v>Crash</v>
      </c>
      <c r="C312" s="5"/>
      <c r="D312" s="6" t="s">
        <v>1354</v>
      </c>
      <c r="E312" s="7" t="str">
        <f>VLOOKUP(J313,data!C:AQ,17,0)</f>
        <v>Stanios</v>
      </c>
      <c r="F312" s="265" t="s">
        <v>359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s="228" customFormat="1">
      <c r="A313" s="16" t="s">
        <v>1355</v>
      </c>
      <c r="B313" s="9" t="str">
        <f>VLOOKUP(J313,data!C:AQ,28,0)</f>
        <v>Králová Jolana</v>
      </c>
      <c r="C313" s="10"/>
      <c r="D313" s="11" t="s">
        <v>1356</v>
      </c>
      <c r="E313" s="12">
        <f>VLOOKUP(J313,data!C:D,2,0)</f>
        <v>45</v>
      </c>
      <c r="F313" s="266"/>
      <c r="G313" s="2"/>
      <c r="H313" s="2"/>
      <c r="I313" s="2"/>
      <c r="J313" s="216">
        <v>97</v>
      </c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s="237" customFormat="1" ht="20.25">
      <c r="A314" s="240"/>
      <c r="B314" s="241"/>
      <c r="C314" s="242"/>
      <c r="D314" s="243"/>
      <c r="E314" s="244"/>
      <c r="F314" s="234"/>
      <c r="G314" s="235"/>
      <c r="H314" s="235"/>
      <c r="I314" s="235"/>
      <c r="J314" s="236"/>
      <c r="K314" s="235"/>
      <c r="L314" s="235"/>
      <c r="M314" s="235"/>
      <c r="N314" s="235"/>
      <c r="O314" s="235"/>
      <c r="P314" s="235"/>
      <c r="Q314" s="235"/>
      <c r="R314" s="235"/>
      <c r="S314" s="235"/>
      <c r="T314" s="235"/>
      <c r="U314" s="235"/>
      <c r="V314" s="235"/>
      <c r="W314" s="235"/>
      <c r="X314" s="235"/>
      <c r="Y314" s="235"/>
      <c r="Z314" s="235"/>
    </row>
    <row r="315" spans="1:26" ht="23.25">
      <c r="A315" s="271" t="s">
        <v>1364</v>
      </c>
      <c r="B315" s="270"/>
      <c r="C315" s="270"/>
      <c r="D315" s="270"/>
      <c r="E315" s="27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s="237" customFormat="1" ht="4.5" customHeight="1">
      <c r="A316" s="240"/>
      <c r="B316" s="241"/>
      <c r="C316" s="242"/>
      <c r="D316" s="243"/>
      <c r="E316" s="244"/>
      <c r="F316" s="234"/>
      <c r="G316" s="235"/>
      <c r="H316" s="235"/>
      <c r="I316" s="235"/>
      <c r="J316" s="236"/>
      <c r="K316" s="235"/>
      <c r="L316" s="235"/>
      <c r="M316" s="235"/>
      <c r="N316" s="235"/>
      <c r="O316" s="235"/>
      <c r="P316" s="235"/>
      <c r="Q316" s="235"/>
      <c r="R316" s="235"/>
      <c r="S316" s="235"/>
      <c r="T316" s="235"/>
      <c r="U316" s="235"/>
      <c r="V316" s="235"/>
      <c r="W316" s="235"/>
      <c r="X316" s="235"/>
      <c r="Y316" s="235"/>
      <c r="Z316" s="235"/>
    </row>
    <row r="317" spans="1:26" s="228" customFormat="1" ht="12.75">
      <c r="A317" s="3" t="s">
        <v>1353</v>
      </c>
      <c r="B317" s="20" t="str">
        <f>VLOOKUP(J318,data!C:AQ,16,0)</f>
        <v>Tifany</v>
      </c>
      <c r="C317" s="5"/>
      <c r="D317" s="6" t="s">
        <v>1354</v>
      </c>
      <c r="E317" s="7" t="str">
        <f>VLOOKUP(J318,data!C:AQ,17,0)</f>
        <v>Dlhá Roveň</v>
      </c>
      <c r="F317" s="265" t="s">
        <v>1743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s="228" customFormat="1">
      <c r="A318" s="16" t="s">
        <v>1355</v>
      </c>
      <c r="B318" s="9" t="str">
        <f>VLOOKUP(J318,data!C:AQ,28,0)</f>
        <v>Majsniar Albín</v>
      </c>
      <c r="C318" s="10"/>
      <c r="D318" s="11" t="s">
        <v>1356</v>
      </c>
      <c r="E318" s="17">
        <f>VLOOKUP(J318,data!C:D,2,0)</f>
        <v>60</v>
      </c>
      <c r="F318" s="266"/>
      <c r="G318" s="2"/>
      <c r="H318" s="2"/>
      <c r="I318" s="2"/>
      <c r="J318" s="216">
        <v>107</v>
      </c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s="228" customFormat="1" ht="4.5" customHeight="1">
      <c r="A319" s="2"/>
      <c r="B319" s="14"/>
      <c r="C319" s="2"/>
      <c r="D319" s="2"/>
      <c r="E319" s="2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s="228" customFormat="1" ht="12.75">
      <c r="A320" s="3" t="s">
        <v>1353</v>
      </c>
      <c r="B320" s="20" t="str">
        <f>VLOOKUP(J321,data!C:AQ,16,0)</f>
        <v>Vamira</v>
      </c>
      <c r="C320" s="5"/>
      <c r="D320" s="6" t="s">
        <v>1354</v>
      </c>
      <c r="E320" s="7" t="str">
        <f>VLOOKUP(J321,data!C:AQ,17,0)</f>
        <v>Dlhá Roveň</v>
      </c>
      <c r="F320" s="265" t="s">
        <v>1742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s="228" customFormat="1">
      <c r="A321" s="16" t="s">
        <v>1355</v>
      </c>
      <c r="B321" s="9" t="str">
        <f>VLOOKUP(J321,data!C:AQ,28,0)</f>
        <v>Majsniar Albín</v>
      </c>
      <c r="C321" s="10"/>
      <c r="D321" s="11" t="s">
        <v>1356</v>
      </c>
      <c r="E321" s="17">
        <f>VLOOKUP(J321,data!C:D,2,0)</f>
        <v>61</v>
      </c>
      <c r="F321" s="266"/>
      <c r="G321" s="2"/>
      <c r="H321" s="2"/>
      <c r="I321" s="2"/>
      <c r="J321" s="216">
        <v>108</v>
      </c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s="237" customFormat="1" ht="4.5" customHeight="1">
      <c r="A322" s="240"/>
      <c r="B322" s="241"/>
      <c r="C322" s="242"/>
      <c r="D322" s="243"/>
      <c r="E322" s="244"/>
      <c r="F322" s="234"/>
      <c r="G322" s="235"/>
      <c r="H322" s="235"/>
      <c r="I322" s="235"/>
      <c r="J322" s="236"/>
      <c r="K322" s="235"/>
      <c r="L322" s="235"/>
      <c r="M322" s="235"/>
      <c r="N322" s="235"/>
      <c r="O322" s="235"/>
      <c r="P322" s="235"/>
      <c r="Q322" s="235"/>
      <c r="R322" s="235"/>
      <c r="S322" s="235"/>
      <c r="T322" s="235"/>
      <c r="U322" s="235"/>
      <c r="V322" s="235"/>
      <c r="W322" s="235"/>
      <c r="X322" s="235"/>
      <c r="Y322" s="235"/>
      <c r="Z322" s="235"/>
    </row>
    <row r="323" spans="1:26" s="228" customFormat="1" ht="12.75">
      <c r="A323" s="3" t="s">
        <v>1353</v>
      </c>
      <c r="B323" s="20" t="str">
        <f>VLOOKUP(J324,data!C:AQ,16,0)</f>
        <v>Luisa</v>
      </c>
      <c r="C323" s="5"/>
      <c r="D323" s="6" t="s">
        <v>1354</v>
      </c>
      <c r="E323" s="7" t="str">
        <f>VLOOKUP(J324,data!C:AQ,17,0)</f>
        <v>Ze Znojemských Čas</v>
      </c>
      <c r="F323" s="265" t="s">
        <v>1741</v>
      </c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s="228" customFormat="1">
      <c r="A324" s="16" t="s">
        <v>1355</v>
      </c>
      <c r="B324" s="19" t="str">
        <f>VLOOKUP(J324,data!C:AQ,28,0)</f>
        <v>Reška Martin, Priatková Andrea</v>
      </c>
      <c r="C324" s="10"/>
      <c r="D324" s="11" t="s">
        <v>1356</v>
      </c>
      <c r="E324" s="17">
        <f>VLOOKUP(J324,data!C:D,2,0)</f>
        <v>58</v>
      </c>
      <c r="F324" s="266"/>
      <c r="G324" s="2"/>
      <c r="H324" s="2"/>
      <c r="I324" s="2"/>
      <c r="J324" s="216">
        <v>105</v>
      </c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s="228" customFormat="1" ht="4.5" customHeight="1">
      <c r="A325" s="2"/>
      <c r="B325" s="14"/>
      <c r="C325" s="2"/>
      <c r="D325" s="2"/>
      <c r="E325" s="2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s="228" customFormat="1" ht="12.75">
      <c r="A326" s="3" t="s">
        <v>1353</v>
      </c>
      <c r="B326" s="20" t="str">
        <f>VLOOKUP(J327,data!C:AQ,16,0)</f>
        <v>Nikita</v>
      </c>
      <c r="C326" s="5"/>
      <c r="D326" s="6" t="s">
        <v>1354</v>
      </c>
      <c r="E326" s="7" t="str">
        <f>VLOOKUP(J327,data!C:AQ,17,0)</f>
        <v>von der Burghaidstein</v>
      </c>
      <c r="F326" s="265" t="s">
        <v>1748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s="228" customFormat="1">
      <c r="A327" s="16" t="s">
        <v>1355</v>
      </c>
      <c r="B327" s="9" t="str">
        <f>VLOOKUP(J327,data!C:AQ,28,0)</f>
        <v>Procházka Karel</v>
      </c>
      <c r="C327" s="10"/>
      <c r="D327" s="11" t="s">
        <v>1356</v>
      </c>
      <c r="E327" s="17">
        <f>VLOOKUP(J327,data!C:D,2,0)</f>
        <v>59</v>
      </c>
      <c r="F327" s="266"/>
      <c r="G327" s="2"/>
      <c r="H327" s="2"/>
      <c r="I327" s="2"/>
      <c r="J327" s="216">
        <v>106</v>
      </c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s="237" customFormat="1" ht="4.5" customHeight="1">
      <c r="A328" s="240"/>
      <c r="B328" s="241"/>
      <c r="C328" s="242"/>
      <c r="D328" s="243"/>
      <c r="E328" s="244"/>
      <c r="F328" s="234"/>
      <c r="G328" s="235"/>
      <c r="H328" s="235"/>
      <c r="I328" s="235"/>
      <c r="J328" s="236"/>
      <c r="K328" s="235"/>
      <c r="L328" s="235"/>
      <c r="M328" s="235"/>
      <c r="N328" s="235"/>
      <c r="O328" s="235"/>
      <c r="P328" s="235"/>
      <c r="Q328" s="235"/>
      <c r="R328" s="235"/>
      <c r="S328" s="235"/>
      <c r="T328" s="235"/>
      <c r="U328" s="235"/>
      <c r="V328" s="235"/>
      <c r="W328" s="235"/>
      <c r="X328" s="235"/>
      <c r="Y328" s="235"/>
      <c r="Z328" s="235"/>
    </row>
    <row r="329" spans="1:26" s="228" customFormat="1" ht="12.75">
      <c r="A329" s="3" t="s">
        <v>1353</v>
      </c>
      <c r="B329" s="20" t="str">
        <f>VLOOKUP(J330,data!C:AQ,16,0)</f>
        <v>Cocolinea</v>
      </c>
      <c r="C329" s="5"/>
      <c r="D329" s="6" t="s">
        <v>1354</v>
      </c>
      <c r="E329" s="7" t="str">
        <f>VLOOKUP(J330,data!C:AQ,17,0)</f>
        <v>Cetrio</v>
      </c>
      <c r="F329" s="265" t="s">
        <v>1744</v>
      </c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s="228" customFormat="1">
      <c r="A330" s="16" t="s">
        <v>1355</v>
      </c>
      <c r="B330" s="9" t="str">
        <f>VLOOKUP(J330,data!C:AQ,28,0)</f>
        <v>Černovský Miloslav</v>
      </c>
      <c r="C330" s="10"/>
      <c r="D330" s="11" t="s">
        <v>1356</v>
      </c>
      <c r="E330" s="17">
        <f>VLOOKUP(J330,data!C:D,2,0)</f>
        <v>54</v>
      </c>
      <c r="F330" s="266"/>
      <c r="G330" s="2"/>
      <c r="H330" s="2"/>
      <c r="I330" s="2"/>
      <c r="J330" s="216">
        <v>101</v>
      </c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s="237" customFormat="1" ht="4.5" customHeight="1">
      <c r="A331" s="240"/>
      <c r="B331" s="241"/>
      <c r="C331" s="242"/>
      <c r="D331" s="243"/>
      <c r="E331" s="244"/>
      <c r="F331" s="234"/>
      <c r="G331" s="235"/>
      <c r="H331" s="235"/>
      <c r="I331" s="235"/>
      <c r="J331" s="236"/>
      <c r="K331" s="235"/>
      <c r="L331" s="235"/>
      <c r="M331" s="235"/>
      <c r="N331" s="235"/>
      <c r="O331" s="235"/>
      <c r="P331" s="235"/>
      <c r="Q331" s="235"/>
      <c r="R331" s="235"/>
      <c r="S331" s="235"/>
      <c r="T331" s="235"/>
      <c r="U331" s="235"/>
      <c r="V331" s="235"/>
      <c r="W331" s="235"/>
      <c r="X331" s="235"/>
      <c r="Y331" s="235"/>
      <c r="Z331" s="235"/>
    </row>
    <row r="332" spans="1:26" s="228" customFormat="1" ht="12.75">
      <c r="A332" s="3" t="s">
        <v>1353</v>
      </c>
      <c r="B332" s="20" t="str">
        <f>VLOOKUP(J333,data!C:AQ,16,0)</f>
        <v>Wara</v>
      </c>
      <c r="C332" s="5"/>
      <c r="D332" s="6" t="s">
        <v>1354</v>
      </c>
      <c r="E332" s="7" t="str">
        <f>VLOOKUP(J333,data!C:AQ,17,0)</f>
        <v>from Georgeland</v>
      </c>
      <c r="F332" s="265" t="s">
        <v>1750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s="228" customFormat="1">
      <c r="A333" s="16" t="s">
        <v>1355</v>
      </c>
      <c r="B333" s="9" t="str">
        <f>VLOOKUP(J333,data!C:AQ,28,0)</f>
        <v>Dovrtěl Jiří, Mgr., LL.M.</v>
      </c>
      <c r="C333" s="10"/>
      <c r="D333" s="11" t="s">
        <v>1356</v>
      </c>
      <c r="E333" s="17">
        <f>VLOOKUP(J333,data!C:D,2,0)</f>
        <v>63</v>
      </c>
      <c r="F333" s="266"/>
      <c r="G333" s="2"/>
      <c r="H333" s="2"/>
      <c r="I333" s="2"/>
      <c r="J333" s="216">
        <v>110</v>
      </c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s="237" customFormat="1" ht="4.5" customHeight="1">
      <c r="A334" s="240"/>
      <c r="B334" s="241"/>
      <c r="C334" s="242"/>
      <c r="D334" s="243"/>
      <c r="E334" s="244"/>
      <c r="F334" s="234"/>
      <c r="G334" s="235"/>
      <c r="H334" s="235"/>
      <c r="I334" s="235"/>
      <c r="J334" s="236"/>
      <c r="K334" s="235"/>
      <c r="L334" s="235"/>
      <c r="M334" s="235"/>
      <c r="N334" s="235"/>
      <c r="O334" s="235"/>
      <c r="P334" s="235"/>
      <c r="Q334" s="235"/>
      <c r="R334" s="235"/>
      <c r="S334" s="235"/>
      <c r="T334" s="235"/>
      <c r="U334" s="235"/>
      <c r="V334" s="235"/>
      <c r="W334" s="235"/>
      <c r="X334" s="235"/>
      <c r="Y334" s="235"/>
      <c r="Z334" s="235"/>
    </row>
    <row r="335" spans="1:26" s="228" customFormat="1" ht="12.75">
      <c r="A335" s="3" t="s">
        <v>1353</v>
      </c>
      <c r="B335" s="20" t="str">
        <f>VLOOKUP(J336,data!C:AQ,16,0)</f>
        <v>Vista</v>
      </c>
      <c r="C335" s="5"/>
      <c r="D335" s="6" t="s">
        <v>1354</v>
      </c>
      <c r="E335" s="7" t="str">
        <f>VLOOKUP(J336,data!C:AQ,17,0)</f>
        <v>Geodis</v>
      </c>
      <c r="F335" s="265" t="s">
        <v>1749</v>
      </c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s="228" customFormat="1">
      <c r="A336" s="16" t="s">
        <v>1355</v>
      </c>
      <c r="B336" s="9" t="str">
        <f>VLOOKUP(J336,data!C:AQ,28,0)</f>
        <v>Gladiš Pavel</v>
      </c>
      <c r="C336" s="10"/>
      <c r="D336" s="11" t="s">
        <v>1356</v>
      </c>
      <c r="E336" s="17">
        <f>VLOOKUP(J336,data!C:D,2,0)</f>
        <v>62</v>
      </c>
      <c r="F336" s="266"/>
      <c r="G336" s="2"/>
      <c r="H336" s="2"/>
      <c r="I336" s="2"/>
      <c r="J336" s="216">
        <v>109</v>
      </c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237" customFormat="1" ht="4.5" customHeight="1">
      <c r="A337" s="240"/>
      <c r="B337" s="241"/>
      <c r="C337" s="242"/>
      <c r="D337" s="243"/>
      <c r="E337" s="244"/>
      <c r="F337" s="234"/>
      <c r="G337" s="235"/>
      <c r="H337" s="235"/>
      <c r="I337" s="235"/>
      <c r="J337" s="236"/>
      <c r="K337" s="235"/>
      <c r="L337" s="235"/>
      <c r="M337" s="235"/>
      <c r="N337" s="235"/>
      <c r="O337" s="235"/>
      <c r="P337" s="235"/>
      <c r="Q337" s="235"/>
      <c r="R337" s="235"/>
      <c r="S337" s="235"/>
      <c r="T337" s="235"/>
      <c r="U337" s="235"/>
      <c r="V337" s="235"/>
      <c r="W337" s="235"/>
      <c r="X337" s="235"/>
      <c r="Y337" s="235"/>
      <c r="Z337" s="235"/>
    </row>
    <row r="338" spans="1:26" s="228" customFormat="1" ht="12.75">
      <c r="A338" s="3" t="s">
        <v>1353</v>
      </c>
      <c r="B338" s="20" t="str">
        <f>VLOOKUP(J339,data!C:AQ,16,0)</f>
        <v xml:space="preserve">Gamora </v>
      </c>
      <c r="C338" s="5"/>
      <c r="D338" s="6" t="s">
        <v>1354</v>
      </c>
      <c r="E338" s="7" t="str">
        <f>VLOOKUP(J339,data!C:AQ,17,0)</f>
        <v>Fauben</v>
      </c>
      <c r="F338" s="265" t="s">
        <v>1746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228" customFormat="1">
      <c r="A339" s="16" t="s">
        <v>1355</v>
      </c>
      <c r="B339" s="9" t="str">
        <f>VLOOKUP(J339,data!C:AQ,28,0)</f>
        <v>Pružinová Šárka</v>
      </c>
      <c r="C339" s="10"/>
      <c r="D339" s="11" t="s">
        <v>1356</v>
      </c>
      <c r="E339" s="17">
        <f>VLOOKUP(J339,data!C:D,2,0)</f>
        <v>56</v>
      </c>
      <c r="F339" s="266"/>
      <c r="G339" s="2"/>
      <c r="H339" s="2"/>
      <c r="I339" s="2"/>
      <c r="J339" s="216">
        <v>103</v>
      </c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228" customFormat="1" ht="4.5" customHeight="1">
      <c r="A340" s="2"/>
      <c r="B340" s="14"/>
      <c r="C340" s="2"/>
      <c r="D340" s="2"/>
      <c r="E340" s="2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228" customFormat="1" ht="12.75">
      <c r="A341" s="3" t="s">
        <v>1353</v>
      </c>
      <c r="B341" s="20" t="str">
        <f>VLOOKUP(J342,data!C:AQ,16,0)</f>
        <v>Hoollie</v>
      </c>
      <c r="C341" s="5"/>
      <c r="D341" s="6" t="s">
        <v>1354</v>
      </c>
      <c r="E341" s="7" t="str">
        <f>VLOOKUP(J342,data!C:AQ,17,0)</f>
        <v>Cetrio</v>
      </c>
      <c r="F341" s="265" t="s">
        <v>1747</v>
      </c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228" customFormat="1">
      <c r="A342" s="16" t="s">
        <v>1355</v>
      </c>
      <c r="B342" s="9" t="str">
        <f>VLOOKUP(J342,data!C:AQ,28,0)</f>
        <v>Černovský Miloslav</v>
      </c>
      <c r="C342" s="10"/>
      <c r="D342" s="11" t="s">
        <v>1356</v>
      </c>
      <c r="E342" s="17">
        <f>VLOOKUP(J342,data!C:D,2,0)</f>
        <v>57</v>
      </c>
      <c r="F342" s="266"/>
      <c r="G342" s="2"/>
      <c r="H342" s="2"/>
      <c r="I342" s="2"/>
      <c r="J342" s="216">
        <v>104</v>
      </c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237" customFormat="1" ht="4.5" customHeight="1">
      <c r="A343" s="240"/>
      <c r="B343" s="241"/>
      <c r="C343" s="242"/>
      <c r="D343" s="243"/>
      <c r="E343" s="244"/>
      <c r="F343" s="234"/>
      <c r="G343" s="235"/>
      <c r="H343" s="235"/>
      <c r="I343" s="235"/>
      <c r="J343" s="236"/>
      <c r="K343" s="235"/>
      <c r="L343" s="235"/>
      <c r="M343" s="235"/>
      <c r="N343" s="235"/>
      <c r="O343" s="235"/>
      <c r="P343" s="235"/>
      <c r="Q343" s="235"/>
      <c r="R343" s="235"/>
      <c r="S343" s="235"/>
      <c r="T343" s="235"/>
      <c r="U343" s="235"/>
      <c r="V343" s="235"/>
      <c r="W343" s="235"/>
      <c r="X343" s="235"/>
      <c r="Y343" s="235"/>
      <c r="Z343" s="235"/>
    </row>
    <row r="344" spans="1:26" s="228" customFormat="1" ht="12.75">
      <c r="A344" s="3" t="s">
        <v>1353</v>
      </c>
      <c r="B344" s="20" t="str">
        <f>VLOOKUP(J345,data!C:AQ,16,0)</f>
        <v>Federica</v>
      </c>
      <c r="C344" s="5"/>
      <c r="D344" s="6" t="s">
        <v>1354</v>
      </c>
      <c r="E344" s="7" t="str">
        <f>VLOOKUP(J345,data!C:AQ,17,0)</f>
        <v>Best  of the Gods</v>
      </c>
      <c r="F344" s="265" t="s">
        <v>1745</v>
      </c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228" customFormat="1">
      <c r="A345" s="16" t="s">
        <v>1355</v>
      </c>
      <c r="B345" s="9" t="str">
        <f>VLOOKUP(J345,data!C:AQ,28,0)</f>
        <v>Konvalinková Veronika</v>
      </c>
      <c r="C345" s="10"/>
      <c r="D345" s="11" t="s">
        <v>1356</v>
      </c>
      <c r="E345" s="17">
        <f>VLOOKUP(J345,data!C:D,2,0)</f>
        <v>55</v>
      </c>
      <c r="F345" s="266"/>
      <c r="G345" s="2"/>
      <c r="H345" s="2"/>
      <c r="I345" s="2"/>
      <c r="J345" s="216">
        <v>102</v>
      </c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237" customFormat="1" ht="4.5" customHeight="1">
      <c r="A346" s="240"/>
      <c r="B346" s="241"/>
      <c r="C346" s="242"/>
      <c r="D346" s="243"/>
      <c r="E346" s="244"/>
      <c r="F346" s="234"/>
      <c r="G346" s="235"/>
      <c r="H346" s="235"/>
      <c r="I346" s="235"/>
      <c r="J346" s="236"/>
      <c r="K346" s="235"/>
      <c r="L346" s="235"/>
      <c r="M346" s="235"/>
      <c r="N346" s="235"/>
      <c r="O346" s="235"/>
      <c r="P346" s="235"/>
      <c r="Q346" s="235"/>
      <c r="R346" s="235"/>
      <c r="S346" s="235"/>
      <c r="T346" s="235"/>
      <c r="U346" s="235"/>
      <c r="V346" s="235"/>
      <c r="W346" s="235"/>
      <c r="X346" s="235"/>
      <c r="Y346" s="235"/>
      <c r="Z346" s="235"/>
    </row>
    <row r="347" spans="1:26" s="228" customFormat="1" ht="12.75">
      <c r="A347" s="3" t="s">
        <v>1353</v>
      </c>
      <c r="B347" s="20" t="str">
        <f>VLOOKUP(J348,data!C:AQ,16,0)</f>
        <v>Zafra Hartis Bohemia</v>
      </c>
      <c r="C347" s="5"/>
      <c r="D347" s="6" t="s">
        <v>1354</v>
      </c>
      <c r="E347" s="7" t="str">
        <f>VLOOKUP(J348,data!C:AQ,17,0)</f>
        <v>Hartis Bohemia</v>
      </c>
      <c r="F347" s="265" t="s">
        <v>1751</v>
      </c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228" customFormat="1">
      <c r="A348" s="16" t="s">
        <v>1355</v>
      </c>
      <c r="B348" s="9" t="str">
        <f>VLOOKUP(J348,data!C:AQ,28,0)</f>
        <v>Bínová Renata</v>
      </c>
      <c r="C348" s="10"/>
      <c r="D348" s="11" t="s">
        <v>1356</v>
      </c>
      <c r="E348" s="17">
        <f>VLOOKUP(J348,data!C:D,2,0)</f>
        <v>64</v>
      </c>
      <c r="F348" s="266"/>
      <c r="G348" s="2"/>
      <c r="H348" s="2"/>
      <c r="I348" s="2"/>
      <c r="J348" s="216">
        <v>111</v>
      </c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237" customFormat="1" ht="4.5" customHeight="1">
      <c r="A349" s="245"/>
      <c r="B349" s="241"/>
      <c r="C349" s="242"/>
      <c r="D349" s="243"/>
      <c r="E349" s="246"/>
      <c r="F349" s="247"/>
      <c r="G349" s="235"/>
      <c r="H349" s="235"/>
      <c r="I349" s="235"/>
      <c r="J349" s="236"/>
      <c r="K349" s="235"/>
      <c r="L349" s="235"/>
      <c r="M349" s="235"/>
      <c r="N349" s="235"/>
      <c r="O349" s="235"/>
      <c r="P349" s="235"/>
      <c r="Q349" s="235"/>
      <c r="R349" s="235"/>
      <c r="S349" s="235"/>
      <c r="T349" s="235"/>
      <c r="U349" s="235"/>
      <c r="V349" s="235"/>
      <c r="W349" s="235"/>
      <c r="X349" s="235"/>
      <c r="Y349" s="235"/>
      <c r="Z349" s="235"/>
    </row>
    <row r="350" spans="1:26" s="228" customFormat="1" ht="12.75">
      <c r="A350" s="3" t="s">
        <v>1353</v>
      </c>
      <c r="B350" s="20" t="str">
        <f>VLOOKUP(J351,data!C:AQ,16,0)</f>
        <v>Cherry Izzy</v>
      </c>
      <c r="C350" s="5"/>
      <c r="D350" s="6" t="s">
        <v>1354</v>
      </c>
      <c r="E350" s="7" t="str">
        <f>VLOOKUP(J351,data!C:AQ,17,0)</f>
        <v xml:space="preserve">z Kadaňského podhradí </v>
      </c>
      <c r="F350" s="265" t="s">
        <v>359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228" customFormat="1">
      <c r="A351" s="16" t="s">
        <v>1355</v>
      </c>
      <c r="B351" s="9" t="str">
        <f>VLOOKUP(J351,data!C:AQ,28,0)</f>
        <v xml:space="preserve">Šedinová Jana </v>
      </c>
      <c r="C351" s="10"/>
      <c r="D351" s="11" t="s">
        <v>1356</v>
      </c>
      <c r="E351" s="17">
        <f>VLOOKUP(J351,data!C:D,2,0)</f>
        <v>53</v>
      </c>
      <c r="F351" s="266"/>
      <c r="G351" s="2"/>
      <c r="H351" s="2"/>
      <c r="I351" s="2"/>
      <c r="J351" s="216">
        <v>100</v>
      </c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45.75" customHeight="1">
      <c r="A352" s="271" t="s">
        <v>1365</v>
      </c>
      <c r="B352" s="270"/>
      <c r="C352" s="270"/>
      <c r="D352" s="270"/>
      <c r="E352" s="2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237" customFormat="1" ht="20.25">
      <c r="A353" s="240"/>
      <c r="B353" s="241"/>
      <c r="C353" s="242"/>
      <c r="D353" s="243"/>
      <c r="E353" s="244"/>
      <c r="F353" s="234"/>
      <c r="G353" s="235"/>
      <c r="H353" s="235"/>
      <c r="I353" s="235"/>
      <c r="J353" s="236"/>
      <c r="K353" s="235"/>
      <c r="L353" s="235"/>
      <c r="M353" s="235"/>
      <c r="N353" s="235"/>
      <c r="O353" s="235"/>
      <c r="P353" s="235"/>
      <c r="Q353" s="235"/>
      <c r="R353" s="235"/>
      <c r="S353" s="235"/>
      <c r="T353" s="235"/>
      <c r="U353" s="235"/>
      <c r="V353" s="235"/>
      <c r="W353" s="235"/>
      <c r="X353" s="235"/>
      <c r="Y353" s="235"/>
      <c r="Z353" s="235"/>
    </row>
    <row r="354" spans="1:26" s="228" customFormat="1" ht="12.75">
      <c r="A354" s="3" t="s">
        <v>1353</v>
      </c>
      <c r="B354" s="20" t="str">
        <f>VLOOKUP(J355,data!C:AQ,16,0)</f>
        <v>Ingrid</v>
      </c>
      <c r="C354" s="5"/>
      <c r="D354" s="6" t="s">
        <v>1354</v>
      </c>
      <c r="E354" s="7" t="str">
        <f>VLOOKUP(J355,data!C:AQ,17,0)</f>
        <v>vom Haus Kaiser</v>
      </c>
      <c r="F354" s="265" t="s">
        <v>1739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228" customFormat="1">
      <c r="A355" s="16" t="s">
        <v>1355</v>
      </c>
      <c r="B355" s="9" t="str">
        <f>VLOOKUP(J355,data!C:AQ,28,0)</f>
        <v>Dauherty Terri</v>
      </c>
      <c r="C355" s="10"/>
      <c r="D355" s="11" t="s">
        <v>1356</v>
      </c>
      <c r="E355" s="17">
        <f>VLOOKUP(J355,data!C:D,2,0)</f>
        <v>66</v>
      </c>
      <c r="F355" s="266"/>
      <c r="G355" s="2"/>
      <c r="H355" s="2"/>
      <c r="I355" s="2"/>
      <c r="J355" s="216">
        <v>113</v>
      </c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237" customFormat="1" ht="4.5" customHeight="1">
      <c r="A356" s="240"/>
      <c r="B356" s="241"/>
      <c r="C356" s="242"/>
      <c r="D356" s="243"/>
      <c r="E356" s="244"/>
      <c r="F356" s="234"/>
      <c r="G356" s="235"/>
      <c r="H356" s="235"/>
      <c r="I356" s="235"/>
      <c r="J356" s="236"/>
      <c r="K356" s="235"/>
      <c r="L356" s="235"/>
      <c r="M356" s="235"/>
      <c r="N356" s="235"/>
      <c r="O356" s="235"/>
      <c r="P356" s="235"/>
      <c r="Q356" s="235"/>
      <c r="R356" s="235"/>
      <c r="S356" s="235"/>
      <c r="T356" s="235"/>
      <c r="U356" s="235"/>
      <c r="V356" s="235"/>
      <c r="W356" s="235"/>
      <c r="X356" s="235"/>
      <c r="Y356" s="235"/>
      <c r="Z356" s="235"/>
    </row>
    <row r="357" spans="1:26" s="228" customFormat="1" ht="12.75">
      <c r="A357" s="3" t="s">
        <v>1353</v>
      </c>
      <c r="B357" s="20" t="str">
        <f>VLOOKUP(J358,data!C:AQ,16,0)</f>
        <v>Ennie</v>
      </c>
      <c r="C357" s="5"/>
      <c r="D357" s="6" t="s">
        <v>1354</v>
      </c>
      <c r="E357" s="7" t="str">
        <f>VLOOKUP(J358,data!C:AQ,17,0)</f>
        <v>Best  of the Gods</v>
      </c>
      <c r="F357" s="265" t="s">
        <v>1742</v>
      </c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228" customFormat="1">
      <c r="A358" s="16" t="s">
        <v>1355</v>
      </c>
      <c r="B358" s="9" t="str">
        <f>VLOOKUP(J358,data!C:AQ,28,0)</f>
        <v>Konvalinková Veronika</v>
      </c>
      <c r="C358" s="10"/>
      <c r="D358" s="11" t="s">
        <v>1356</v>
      </c>
      <c r="E358" s="17">
        <f>VLOOKUP(J358,data!C:D,2,0)</f>
        <v>65</v>
      </c>
      <c r="F358" s="266"/>
      <c r="G358" s="2"/>
      <c r="H358" s="2"/>
      <c r="I358" s="2"/>
      <c r="J358" s="216">
        <v>112</v>
      </c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237" customFormat="1" ht="4.5" customHeight="1">
      <c r="A359" s="240"/>
      <c r="B359" s="241"/>
      <c r="C359" s="242"/>
      <c r="D359" s="243"/>
      <c r="E359" s="244"/>
      <c r="F359" s="234"/>
      <c r="G359" s="235"/>
      <c r="H359" s="235"/>
      <c r="I359" s="235"/>
      <c r="J359" s="236"/>
      <c r="K359" s="235"/>
      <c r="L359" s="235"/>
      <c r="M359" s="235"/>
      <c r="N359" s="235"/>
      <c r="O359" s="235"/>
      <c r="P359" s="235"/>
      <c r="Q359" s="235"/>
      <c r="R359" s="235"/>
      <c r="S359" s="235"/>
      <c r="T359" s="235"/>
      <c r="U359" s="235"/>
      <c r="V359" s="235"/>
      <c r="W359" s="235"/>
      <c r="X359" s="235"/>
      <c r="Y359" s="235"/>
      <c r="Z359" s="235"/>
    </row>
    <row r="360" spans="1:26" s="228" customFormat="1" ht="12.75">
      <c r="A360" s="3" t="s">
        <v>1353</v>
      </c>
      <c r="B360" s="20" t="str">
        <f>VLOOKUP(J361,data!C:AQ,16,0)</f>
        <v>Renie</v>
      </c>
      <c r="C360" s="5"/>
      <c r="D360" s="6" t="s">
        <v>1354</v>
      </c>
      <c r="E360" s="7" t="str">
        <f>VLOOKUP(J361,data!C:AQ,17,0)</f>
        <v>Navaro Bohemia</v>
      </c>
      <c r="F360" s="265" t="s">
        <v>1741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s="228" customFormat="1">
      <c r="A361" s="16" t="s">
        <v>1355</v>
      </c>
      <c r="B361" s="9" t="str">
        <f>VLOOKUP(J361,data!C:AQ,28,0)</f>
        <v>Polan Ivo</v>
      </c>
      <c r="C361" s="10"/>
      <c r="D361" s="11" t="s">
        <v>1356</v>
      </c>
      <c r="E361" s="17">
        <f>VLOOKUP(J361,data!C:D,2,0)</f>
        <v>67</v>
      </c>
      <c r="F361" s="266"/>
      <c r="G361" s="2"/>
      <c r="H361" s="2"/>
      <c r="I361" s="2"/>
      <c r="J361" s="216">
        <v>114</v>
      </c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3.25">
      <c r="A362" s="274" t="s">
        <v>1366</v>
      </c>
      <c r="B362" s="275"/>
      <c r="C362" s="275"/>
      <c r="D362" s="275"/>
      <c r="E362" s="27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s="237" customFormat="1" ht="20.25">
      <c r="A363" s="229"/>
      <c r="B363" s="230"/>
      <c r="C363" s="231"/>
      <c r="D363" s="232"/>
      <c r="E363" s="233"/>
      <c r="F363" s="234"/>
      <c r="G363" s="235"/>
      <c r="H363" s="235"/>
      <c r="I363" s="235"/>
      <c r="J363" s="236"/>
      <c r="K363" s="235"/>
      <c r="L363" s="235"/>
      <c r="M363" s="235"/>
      <c r="N363" s="235"/>
      <c r="O363" s="235"/>
      <c r="P363" s="235"/>
      <c r="Q363" s="235"/>
      <c r="R363" s="235"/>
      <c r="S363" s="235"/>
      <c r="T363" s="235"/>
      <c r="U363" s="235"/>
      <c r="V363" s="235"/>
      <c r="W363" s="235"/>
      <c r="X363" s="235"/>
      <c r="Y363" s="235"/>
      <c r="Z363" s="235"/>
    </row>
    <row r="364" spans="1:26" s="228" customFormat="1" ht="12.75">
      <c r="A364" s="3" t="s">
        <v>1353</v>
      </c>
      <c r="B364" s="20" t="str">
        <f>VLOOKUP(J365,data!C:AQ,16,0)</f>
        <v>Yegor</v>
      </c>
      <c r="C364" s="5"/>
      <c r="D364" s="6" t="s">
        <v>1354</v>
      </c>
      <c r="E364" s="7" t="str">
        <f>VLOOKUP(J365,data!C:AQ,17,0)</f>
        <v>from Georgeland</v>
      </c>
      <c r="F364" s="265" t="s">
        <v>1727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s="228" customFormat="1">
      <c r="A365" s="16" t="s">
        <v>1355</v>
      </c>
      <c r="B365" s="9" t="str">
        <f>VLOOKUP(J365,data!C:AQ,28,0)</f>
        <v>Mezírka Lukáš</v>
      </c>
      <c r="C365" s="10"/>
      <c r="D365" s="11" t="s">
        <v>1356</v>
      </c>
      <c r="E365" s="12">
        <f>VLOOKUP(J365,data!C:D,2,0)</f>
        <v>54</v>
      </c>
      <c r="F365" s="266"/>
      <c r="G365" s="2"/>
      <c r="H365" s="2"/>
      <c r="I365" s="2"/>
      <c r="J365" s="216">
        <v>121</v>
      </c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s="237" customFormat="1" ht="5.25" customHeight="1">
      <c r="A366" s="240"/>
      <c r="B366" s="241"/>
      <c r="C366" s="242"/>
      <c r="D366" s="243"/>
      <c r="E366" s="244"/>
      <c r="F366" s="234"/>
      <c r="G366" s="235"/>
      <c r="H366" s="235"/>
      <c r="I366" s="235"/>
      <c r="J366" s="236"/>
      <c r="K366" s="235"/>
      <c r="L366" s="235"/>
      <c r="M366" s="235"/>
      <c r="N366" s="235"/>
      <c r="O366" s="235"/>
      <c r="P366" s="235"/>
      <c r="Q366" s="235"/>
      <c r="R366" s="235"/>
      <c r="S366" s="235"/>
      <c r="T366" s="235"/>
      <c r="U366" s="235"/>
      <c r="V366" s="235"/>
      <c r="W366" s="235"/>
      <c r="X366" s="235"/>
      <c r="Y366" s="235"/>
      <c r="Z366" s="235"/>
    </row>
    <row r="367" spans="1:26" s="228" customFormat="1" ht="12.75">
      <c r="A367" s="3" t="s">
        <v>1353</v>
      </c>
      <c r="B367" s="20" t="str">
        <f>VLOOKUP(J368,data!C:AQ,16,0)</f>
        <v>Leron</v>
      </c>
      <c r="C367" s="5"/>
      <c r="D367" s="6" t="s">
        <v>1354</v>
      </c>
      <c r="E367" s="7" t="str">
        <f>VLOOKUP(J368,data!C:AQ,17,0)</f>
        <v>Maserau</v>
      </c>
      <c r="F367" s="265" t="s">
        <v>1726</v>
      </c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s="228" customFormat="1">
      <c r="A368" s="16" t="s">
        <v>1355</v>
      </c>
      <c r="B368" s="9" t="str">
        <f>VLOOKUP(J368,data!C:AQ,28,0)</f>
        <v>Záborcová Marie</v>
      </c>
      <c r="C368" s="10"/>
      <c r="D368" s="11" t="s">
        <v>1356</v>
      </c>
      <c r="E368" s="12">
        <f>VLOOKUP(J368,data!C:D,2,0)</f>
        <v>51</v>
      </c>
      <c r="F368" s="266"/>
      <c r="G368" s="2"/>
      <c r="H368" s="2"/>
      <c r="I368" s="2"/>
      <c r="J368" s="216">
        <v>118</v>
      </c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s="237" customFormat="1" ht="4.5" customHeight="1">
      <c r="A369" s="240"/>
      <c r="B369" s="241"/>
      <c r="C369" s="242"/>
      <c r="D369" s="243"/>
      <c r="E369" s="244"/>
      <c r="F369" s="234"/>
      <c r="G369" s="235"/>
      <c r="H369" s="235"/>
      <c r="I369" s="235"/>
      <c r="J369" s="236"/>
      <c r="K369" s="235"/>
      <c r="L369" s="235"/>
      <c r="M369" s="235"/>
      <c r="N369" s="235"/>
      <c r="O369" s="235"/>
      <c r="P369" s="235"/>
      <c r="Q369" s="235"/>
      <c r="R369" s="235"/>
      <c r="S369" s="235"/>
      <c r="T369" s="235"/>
      <c r="U369" s="235"/>
      <c r="V369" s="235"/>
      <c r="W369" s="235"/>
      <c r="X369" s="235"/>
      <c r="Y369" s="235"/>
      <c r="Z369" s="235"/>
    </row>
    <row r="370" spans="1:26" s="228" customFormat="1" ht="12.75">
      <c r="A370" s="3" t="s">
        <v>1353</v>
      </c>
      <c r="B370" s="20" t="str">
        <f>VLOOKUP(J371,data!C:AQ,16,0)</f>
        <v>Wilas</v>
      </c>
      <c r="C370" s="5"/>
      <c r="D370" s="6" t="s">
        <v>1354</v>
      </c>
      <c r="E370" s="7" t="str">
        <f>VLOOKUP(J371,data!C:AQ,17,0)</f>
        <v>Mir-Jar</v>
      </c>
      <c r="F370" s="265" t="s">
        <v>1731</v>
      </c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s="228" customFormat="1">
      <c r="A371" s="16" t="s">
        <v>1355</v>
      </c>
      <c r="B371" s="9" t="str">
        <f>VLOOKUP(J371,data!C:AQ,28,0)</f>
        <v>Anderle Jaromír</v>
      </c>
      <c r="C371" s="10"/>
      <c r="D371" s="11" t="s">
        <v>1356</v>
      </c>
      <c r="E371" s="12">
        <f>VLOOKUP(J371,data!C:D,2,0)</f>
        <v>53</v>
      </c>
      <c r="F371" s="266"/>
      <c r="G371" s="2"/>
      <c r="H371" s="2"/>
      <c r="I371" s="2"/>
      <c r="J371" s="216">
        <v>120</v>
      </c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s="237" customFormat="1" ht="5.25" customHeight="1">
      <c r="A372" s="240"/>
      <c r="B372" s="241"/>
      <c r="C372" s="242"/>
      <c r="D372" s="243"/>
      <c r="E372" s="244"/>
      <c r="F372" s="234"/>
      <c r="G372" s="235"/>
      <c r="H372" s="235"/>
      <c r="I372" s="235"/>
      <c r="J372" s="236"/>
      <c r="K372" s="235"/>
      <c r="L372" s="235"/>
      <c r="M372" s="235"/>
      <c r="N372" s="235"/>
      <c r="O372" s="235"/>
      <c r="P372" s="235"/>
      <c r="Q372" s="235"/>
      <c r="R372" s="235"/>
      <c r="S372" s="235"/>
      <c r="T372" s="235"/>
      <c r="U372" s="235"/>
      <c r="V372" s="235"/>
      <c r="W372" s="235"/>
      <c r="X372" s="235"/>
      <c r="Y372" s="235"/>
      <c r="Z372" s="235"/>
    </row>
    <row r="373" spans="1:26" s="228" customFormat="1" ht="12.75">
      <c r="A373" s="3" t="s">
        <v>1353</v>
      </c>
      <c r="B373" s="20" t="str">
        <f>VLOOKUP(J374,data!C:AQ,16,0)</f>
        <v>Egon</v>
      </c>
      <c r="C373" s="5"/>
      <c r="D373" s="6" t="s">
        <v>1354</v>
      </c>
      <c r="E373" s="7" t="str">
        <f>VLOOKUP(J374,data!C:AQ,17,0)</f>
        <v>King Regent</v>
      </c>
      <c r="F373" s="265" t="s">
        <v>1734</v>
      </c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s="228" customFormat="1">
      <c r="A374" s="16" t="s">
        <v>1355</v>
      </c>
      <c r="B374" s="9" t="str">
        <f>VLOOKUP(J374,data!C:AQ,28,0)</f>
        <v>Bartušková Ivana</v>
      </c>
      <c r="C374" s="10"/>
      <c r="D374" s="11" t="s">
        <v>1356</v>
      </c>
      <c r="E374" s="12">
        <f>VLOOKUP(J374,data!C:D,2,0)</f>
        <v>49</v>
      </c>
      <c r="F374" s="266"/>
      <c r="G374" s="2"/>
      <c r="H374" s="2"/>
      <c r="I374" s="2"/>
      <c r="J374" s="216">
        <v>116</v>
      </c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s="237" customFormat="1" ht="5.25" customHeight="1">
      <c r="A375" s="240"/>
      <c r="B375" s="241"/>
      <c r="C375" s="242"/>
      <c r="D375" s="243"/>
      <c r="E375" s="244"/>
      <c r="F375" s="234"/>
      <c r="G375" s="235"/>
      <c r="H375" s="235"/>
      <c r="I375" s="235"/>
      <c r="J375" s="236"/>
      <c r="K375" s="235"/>
      <c r="L375" s="235"/>
      <c r="M375" s="235"/>
      <c r="N375" s="235"/>
      <c r="O375" s="235"/>
      <c r="P375" s="235"/>
      <c r="Q375" s="235"/>
      <c r="R375" s="235"/>
      <c r="S375" s="235"/>
      <c r="T375" s="235"/>
      <c r="U375" s="235"/>
      <c r="V375" s="235"/>
      <c r="W375" s="235"/>
      <c r="X375" s="235"/>
      <c r="Y375" s="235"/>
      <c r="Z375" s="235"/>
    </row>
    <row r="376" spans="1:26" s="228" customFormat="1" ht="12.75">
      <c r="A376" s="3" t="s">
        <v>1353</v>
      </c>
      <c r="B376" s="20" t="str">
        <f>VLOOKUP(J377,data!C:AQ,16,0)</f>
        <v xml:space="preserve">Fox </v>
      </c>
      <c r="C376" s="5"/>
      <c r="D376" s="6" t="s">
        <v>1354</v>
      </c>
      <c r="E376" s="7" t="str">
        <f>VLOOKUP(J377,data!C:AQ,17,0)</f>
        <v>Kibitz Bohemia</v>
      </c>
      <c r="F376" s="265" t="s">
        <v>1733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s="228" customFormat="1">
      <c r="A377" s="16" t="s">
        <v>1355</v>
      </c>
      <c r="B377" s="9" t="str">
        <f>VLOOKUP(J377,data!C:AQ,28,0)</f>
        <v>Čejková Dana</v>
      </c>
      <c r="C377" s="10"/>
      <c r="D377" s="11" t="s">
        <v>1356</v>
      </c>
      <c r="E377" s="12">
        <f>VLOOKUP(J377,data!C:D,2,0)</f>
        <v>50</v>
      </c>
      <c r="F377" s="266"/>
      <c r="G377" s="2"/>
      <c r="H377" s="2"/>
      <c r="I377" s="2"/>
      <c r="J377" s="216">
        <v>117</v>
      </c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s="237" customFormat="1" ht="5.25" customHeight="1">
      <c r="A378" s="240"/>
      <c r="B378" s="241"/>
      <c r="C378" s="242"/>
      <c r="D378" s="243"/>
      <c r="E378" s="244"/>
      <c r="F378" s="234"/>
      <c r="G378" s="235"/>
      <c r="H378" s="235"/>
      <c r="I378" s="235"/>
      <c r="J378" s="236"/>
      <c r="K378" s="235"/>
      <c r="L378" s="235"/>
      <c r="M378" s="235"/>
      <c r="N378" s="235"/>
      <c r="O378" s="235"/>
      <c r="P378" s="235"/>
      <c r="Q378" s="235"/>
      <c r="R378" s="235"/>
      <c r="S378" s="235"/>
      <c r="T378" s="235"/>
      <c r="U378" s="235"/>
      <c r="V378" s="235"/>
      <c r="W378" s="235"/>
      <c r="X378" s="235"/>
      <c r="Y378" s="235"/>
      <c r="Z378" s="235"/>
    </row>
    <row r="379" spans="1:26" s="228" customFormat="1" ht="12.75">
      <c r="A379" s="3" t="s">
        <v>1353</v>
      </c>
      <c r="B379" s="20" t="str">
        <f>VLOOKUP(J380,data!C:AQ,16,0)</f>
        <v>Akim</v>
      </c>
      <c r="C379" s="5"/>
      <c r="D379" s="6" t="s">
        <v>1354</v>
      </c>
      <c r="E379" s="7" t="str">
        <f>VLOOKUP(J380,data!C:AQ,17,0)</f>
        <v>Z Podradbuzí</v>
      </c>
      <c r="F379" s="265" t="s">
        <v>1730</v>
      </c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s="228" customFormat="1">
      <c r="A380" s="16" t="s">
        <v>1355</v>
      </c>
      <c r="B380" s="9" t="str">
        <f>VLOOKUP(J380,data!C:AQ,28,0)</f>
        <v>Šnytr Oldřich</v>
      </c>
      <c r="C380" s="10"/>
      <c r="D380" s="11" t="s">
        <v>1356</v>
      </c>
      <c r="E380" s="12">
        <f>VLOOKUP(J380,data!C:D,2,0)</f>
        <v>48</v>
      </c>
      <c r="F380" s="266"/>
      <c r="G380" s="2"/>
      <c r="H380" s="2"/>
      <c r="I380" s="2"/>
      <c r="J380" s="216">
        <v>115</v>
      </c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s="237" customFormat="1" ht="5.25" customHeight="1">
      <c r="A381" s="240"/>
      <c r="B381" s="241"/>
      <c r="C381" s="242"/>
      <c r="D381" s="243"/>
      <c r="E381" s="244"/>
      <c r="F381" s="234"/>
      <c r="G381" s="235"/>
      <c r="H381" s="235"/>
      <c r="I381" s="235"/>
      <c r="J381" s="236"/>
      <c r="K381" s="235"/>
      <c r="L381" s="235"/>
      <c r="M381" s="235"/>
      <c r="N381" s="235"/>
      <c r="O381" s="235"/>
      <c r="P381" s="235"/>
      <c r="Q381" s="235"/>
      <c r="R381" s="235"/>
      <c r="S381" s="235"/>
      <c r="T381" s="235"/>
      <c r="U381" s="235"/>
      <c r="V381" s="235"/>
      <c r="W381" s="235"/>
      <c r="X381" s="235"/>
      <c r="Y381" s="235"/>
      <c r="Z381" s="235"/>
    </row>
    <row r="382" spans="1:26" s="228" customFormat="1" ht="12.75">
      <c r="A382" s="3" t="s">
        <v>1353</v>
      </c>
      <c r="B382" s="20" t="str">
        <f>VLOOKUP(J383,data!C:AQ,16,0)</f>
        <v>Wito</v>
      </c>
      <c r="C382" s="5"/>
      <c r="D382" s="6" t="s">
        <v>1354</v>
      </c>
      <c r="E382" s="7" t="str">
        <f>VLOOKUP(J383,data!C:AQ,17,0)</f>
        <v>Mir-Jar</v>
      </c>
      <c r="F382" s="265" t="s">
        <v>1738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s="228" customFormat="1">
      <c r="A383" s="16" t="s">
        <v>1355</v>
      </c>
      <c r="B383" s="9" t="str">
        <f>VLOOKUP(J383,data!C:AQ,28,0)</f>
        <v>Anderle Jaromír</v>
      </c>
      <c r="C383" s="10"/>
      <c r="D383" s="11" t="s">
        <v>1356</v>
      </c>
      <c r="E383" s="12">
        <f>VLOOKUP(J383,data!C:D,2,0)</f>
        <v>57</v>
      </c>
      <c r="F383" s="266"/>
      <c r="G383" s="2"/>
      <c r="H383" s="2"/>
      <c r="I383" s="2"/>
      <c r="J383" s="216">
        <v>124</v>
      </c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s="237" customFormat="1" ht="5.25" customHeight="1">
      <c r="A384" s="240"/>
      <c r="B384" s="241"/>
      <c r="C384" s="242"/>
      <c r="D384" s="243"/>
      <c r="E384" s="244"/>
      <c r="F384" s="234"/>
      <c r="G384" s="235"/>
      <c r="H384" s="235"/>
      <c r="I384" s="235"/>
      <c r="J384" s="236"/>
      <c r="K384" s="235"/>
      <c r="L384" s="235"/>
      <c r="M384" s="235"/>
      <c r="N384" s="235"/>
      <c r="O384" s="235"/>
      <c r="P384" s="235"/>
      <c r="Q384" s="235"/>
      <c r="R384" s="235"/>
      <c r="S384" s="235"/>
      <c r="T384" s="235"/>
      <c r="U384" s="235"/>
      <c r="V384" s="235"/>
      <c r="W384" s="235"/>
      <c r="X384" s="235"/>
      <c r="Y384" s="235"/>
      <c r="Z384" s="235"/>
    </row>
    <row r="385" spans="1:26" s="228" customFormat="1" ht="12.75">
      <c r="A385" s="3" t="s">
        <v>1353</v>
      </c>
      <c r="B385" s="20" t="str">
        <f>VLOOKUP(J386,data!C:AQ,16,0)</f>
        <v>Rocky</v>
      </c>
      <c r="C385" s="5"/>
      <c r="D385" s="6" t="s">
        <v>1354</v>
      </c>
      <c r="E385" s="7" t="str">
        <f>VLOOKUP(J386,data!C:AQ,17,0)</f>
        <v>od Hradčanského rybníka</v>
      </c>
      <c r="F385" s="265" t="s">
        <v>1728</v>
      </c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s="228" customFormat="1">
      <c r="A386" s="16" t="s">
        <v>1355</v>
      </c>
      <c r="B386" s="9" t="str">
        <f>VLOOKUP(J386,data!C:AQ,28,0)</f>
        <v>Koloušek Jiří</v>
      </c>
      <c r="C386" s="10"/>
      <c r="D386" s="11" t="s">
        <v>1356</v>
      </c>
      <c r="E386" s="12">
        <f>VLOOKUP(J386,data!C:D,2,0)</f>
        <v>52</v>
      </c>
      <c r="F386" s="266"/>
      <c r="G386" s="2"/>
      <c r="H386" s="2"/>
      <c r="I386" s="2"/>
      <c r="J386" s="216">
        <v>119</v>
      </c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s="237" customFormat="1" ht="5.25" customHeight="1">
      <c r="A387" s="240"/>
      <c r="B387" s="241"/>
      <c r="C387" s="242"/>
      <c r="D387" s="243"/>
      <c r="E387" s="244"/>
      <c r="F387" s="234"/>
      <c r="G387" s="235"/>
      <c r="H387" s="235"/>
      <c r="I387" s="235"/>
      <c r="J387" s="236"/>
      <c r="K387" s="235"/>
      <c r="L387" s="235"/>
      <c r="M387" s="235"/>
      <c r="N387" s="235"/>
      <c r="O387" s="235"/>
      <c r="P387" s="235"/>
      <c r="Q387" s="235"/>
      <c r="R387" s="235"/>
      <c r="S387" s="235"/>
      <c r="T387" s="235"/>
      <c r="U387" s="235"/>
      <c r="V387" s="235"/>
      <c r="W387" s="235"/>
      <c r="X387" s="235"/>
      <c r="Y387" s="235"/>
      <c r="Z387" s="235"/>
    </row>
    <row r="388" spans="1:26" s="228" customFormat="1" ht="12.75">
      <c r="A388" s="3" t="s">
        <v>1353</v>
      </c>
      <c r="B388" s="20" t="str">
        <f>VLOOKUP(J389,data!C:AQ,16,0)</f>
        <v>Zallo</v>
      </c>
      <c r="C388" s="5"/>
      <c r="D388" s="6" t="s">
        <v>1354</v>
      </c>
      <c r="E388" s="7" t="str">
        <f>VLOOKUP(J389,data!C:AQ,17,0)</f>
        <v>vom Fichtenschlag</v>
      </c>
      <c r="F388" s="265" t="s">
        <v>359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s="228" customFormat="1">
      <c r="A389" s="16" t="s">
        <v>1355</v>
      </c>
      <c r="B389" s="9" t="str">
        <f>VLOOKUP(J389,data!C:AQ,28,0)</f>
        <v>Majsniar Albín</v>
      </c>
      <c r="C389" s="10"/>
      <c r="D389" s="11" t="s">
        <v>1356</v>
      </c>
      <c r="E389" s="12">
        <f>VLOOKUP(J389,data!C:D,2,0)</f>
        <v>55</v>
      </c>
      <c r="F389" s="266"/>
      <c r="G389" s="2"/>
      <c r="H389" s="2"/>
      <c r="I389" s="2"/>
      <c r="J389" s="216">
        <v>122</v>
      </c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s="237" customFormat="1" ht="20.25">
      <c r="A390" s="240"/>
      <c r="B390" s="241"/>
      <c r="C390" s="242"/>
      <c r="D390" s="243"/>
      <c r="E390" s="244"/>
      <c r="F390" s="234"/>
      <c r="G390" s="235"/>
      <c r="H390" s="235"/>
      <c r="I390" s="235"/>
      <c r="J390" s="236"/>
      <c r="K390" s="235"/>
      <c r="L390" s="235"/>
      <c r="M390" s="235"/>
      <c r="N390" s="235"/>
      <c r="O390" s="235"/>
      <c r="P390" s="235"/>
      <c r="Q390" s="235"/>
      <c r="R390" s="235"/>
      <c r="S390" s="235"/>
      <c r="T390" s="235"/>
      <c r="U390" s="235"/>
      <c r="V390" s="235"/>
      <c r="W390" s="235"/>
      <c r="X390" s="235"/>
      <c r="Y390" s="235"/>
      <c r="Z390" s="235"/>
    </row>
    <row r="391" spans="1:26" ht="23.25">
      <c r="A391" s="271" t="s">
        <v>1367</v>
      </c>
      <c r="B391" s="270"/>
      <c r="C391" s="270"/>
      <c r="D391" s="270"/>
      <c r="E391" s="2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3" t="s">
        <v>1353</v>
      </c>
      <c r="B392" s="4" t="str">
        <f>VLOOKUP(J393,data!C:AQ,16,0)</f>
        <v xml:space="preserve">Jack Daniel's </v>
      </c>
      <c r="C392" s="5"/>
      <c r="D392" s="6" t="s">
        <v>1354</v>
      </c>
      <c r="E392" s="7" t="str">
        <f>VLOOKUP(J393,data!C:AQ,17,0)</f>
        <v xml:space="preserve">z Kadaňského podhradí </v>
      </c>
      <c r="F392" s="265" t="s">
        <v>1727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16" t="s">
        <v>1355</v>
      </c>
      <c r="B393" s="9" t="str">
        <f>VLOOKUP(J393,data!C:AQ,28,0)</f>
        <v xml:space="preserve">Šedinová Jana </v>
      </c>
      <c r="C393" s="10"/>
      <c r="D393" s="11" t="s">
        <v>1356</v>
      </c>
      <c r="E393" s="12">
        <f>VLOOKUP(J393,data!C:D,2,0)</f>
        <v>56</v>
      </c>
      <c r="F393" s="266"/>
      <c r="G393" s="2"/>
      <c r="H393" s="2"/>
      <c r="I393" s="2"/>
      <c r="J393" s="13">
        <v>123</v>
      </c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4.5" customHeight="1">
      <c r="A394" s="2"/>
      <c r="B394" s="14"/>
      <c r="C394" s="2"/>
      <c r="D394" s="2"/>
      <c r="E394" s="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3.25">
      <c r="A395" s="271" t="s">
        <v>1368</v>
      </c>
      <c r="B395" s="270"/>
      <c r="C395" s="270"/>
      <c r="D395" s="270"/>
      <c r="E395" s="2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s="237" customFormat="1" ht="20.25">
      <c r="A396" s="240"/>
      <c r="B396" s="241"/>
      <c r="C396" s="242"/>
      <c r="D396" s="243"/>
      <c r="E396" s="244"/>
      <c r="F396" s="234"/>
      <c r="G396" s="235"/>
      <c r="H396" s="235"/>
      <c r="I396" s="235"/>
      <c r="J396" s="236"/>
      <c r="K396" s="235"/>
      <c r="L396" s="235"/>
      <c r="M396" s="235"/>
      <c r="N396" s="235"/>
      <c r="O396" s="235"/>
      <c r="P396" s="235"/>
      <c r="Q396" s="235"/>
      <c r="R396" s="235"/>
      <c r="S396" s="235"/>
      <c r="T396" s="235"/>
      <c r="U396" s="235"/>
      <c r="V396" s="235"/>
      <c r="W396" s="235"/>
      <c r="X396" s="235"/>
      <c r="Y396" s="235"/>
      <c r="Z396" s="235"/>
    </row>
    <row r="397" spans="1:26" s="228" customFormat="1" ht="12.75">
      <c r="A397" s="3" t="s">
        <v>1353</v>
      </c>
      <c r="B397" s="20" t="str">
        <f>VLOOKUP(J398,data!C:AQ,16,0)</f>
        <v xml:space="preserve">Charlota </v>
      </c>
      <c r="C397" s="5"/>
      <c r="D397" s="6" t="s">
        <v>1354</v>
      </c>
      <c r="E397" s="7" t="str">
        <f>VLOOKUP(J398,data!C:AQ,17,0)</f>
        <v>Fauben</v>
      </c>
      <c r="F397" s="265" t="s">
        <v>1727</v>
      </c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s="228" customFormat="1">
      <c r="A398" s="16" t="s">
        <v>1355</v>
      </c>
      <c r="B398" s="9" t="str">
        <f>VLOOKUP(J398,data!C:AQ,28,0)</f>
        <v>Pružinová Šárka</v>
      </c>
      <c r="C398" s="10"/>
      <c r="D398" s="11" t="s">
        <v>1356</v>
      </c>
      <c r="E398" s="17">
        <f>VLOOKUP(J398,data!C:D,2,0)</f>
        <v>69</v>
      </c>
      <c r="F398" s="266"/>
      <c r="G398" s="2"/>
      <c r="H398" s="2"/>
      <c r="I398" s="2"/>
      <c r="J398" s="216">
        <v>126</v>
      </c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s="237" customFormat="1" ht="4.5" customHeight="1">
      <c r="A399" s="240"/>
      <c r="B399" s="241"/>
      <c r="C399" s="242"/>
      <c r="D399" s="243"/>
      <c r="E399" s="244"/>
      <c r="F399" s="234"/>
      <c r="G399" s="235"/>
      <c r="H399" s="235"/>
      <c r="I399" s="235"/>
      <c r="J399" s="236"/>
      <c r="K399" s="235"/>
      <c r="L399" s="235"/>
      <c r="M399" s="235"/>
      <c r="N399" s="235"/>
      <c r="O399" s="235"/>
      <c r="P399" s="235"/>
      <c r="Q399" s="235"/>
      <c r="R399" s="235"/>
      <c r="S399" s="235"/>
      <c r="T399" s="235"/>
      <c r="U399" s="235"/>
      <c r="V399" s="235"/>
      <c r="W399" s="235"/>
      <c r="X399" s="235"/>
      <c r="Y399" s="235"/>
      <c r="Z399" s="235"/>
    </row>
    <row r="400" spans="1:26" s="228" customFormat="1" ht="12.75">
      <c r="A400" s="3" t="s">
        <v>1353</v>
      </c>
      <c r="B400" s="20" t="str">
        <f>VLOOKUP(J401,data!C:AQ,16,0)</f>
        <v>Bambi</v>
      </c>
      <c r="C400" s="5"/>
      <c r="D400" s="6" t="s">
        <v>1354</v>
      </c>
      <c r="E400" s="7" t="str">
        <f>VLOOKUP(J401,data!C:AQ,17,0)</f>
        <v>Provocativo</v>
      </c>
      <c r="F400" s="265" t="s">
        <v>1726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s="228" customFormat="1">
      <c r="A401" s="16" t="s">
        <v>1355</v>
      </c>
      <c r="B401" s="9" t="str">
        <f>VLOOKUP(J401,data!C:AQ,28,0)</f>
        <v>Zahradníková Barbora</v>
      </c>
      <c r="C401" s="10"/>
      <c r="D401" s="11" t="s">
        <v>1356</v>
      </c>
      <c r="E401" s="17">
        <f>VLOOKUP(J401,data!C:D,2,0)</f>
        <v>68</v>
      </c>
      <c r="F401" s="266"/>
      <c r="G401" s="2"/>
      <c r="H401" s="2"/>
      <c r="I401" s="2"/>
      <c r="J401" s="216">
        <v>125</v>
      </c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s="237" customFormat="1" ht="4.5" customHeight="1">
      <c r="A402" s="240"/>
      <c r="B402" s="241"/>
      <c r="C402" s="242"/>
      <c r="D402" s="243"/>
      <c r="E402" s="244"/>
      <c r="F402" s="234"/>
      <c r="G402" s="235"/>
      <c r="H402" s="235"/>
      <c r="I402" s="235"/>
      <c r="J402" s="236"/>
      <c r="K402" s="235"/>
      <c r="L402" s="235"/>
      <c r="M402" s="235"/>
      <c r="N402" s="235"/>
      <c r="O402" s="235"/>
      <c r="P402" s="235"/>
      <c r="Q402" s="235"/>
      <c r="R402" s="235"/>
      <c r="S402" s="235"/>
      <c r="T402" s="235"/>
      <c r="U402" s="235"/>
      <c r="V402" s="235"/>
      <c r="W402" s="235"/>
      <c r="X402" s="235"/>
      <c r="Y402" s="235"/>
      <c r="Z402" s="235"/>
    </row>
    <row r="403" spans="1:26" s="228" customFormat="1" ht="12.75">
      <c r="A403" s="3" t="s">
        <v>1353</v>
      </c>
      <c r="B403" s="20" t="str">
        <f>VLOOKUP(J404,data!C:AQ,16,0)</f>
        <v>Wera</v>
      </c>
      <c r="C403" s="5"/>
      <c r="D403" s="6" t="s">
        <v>1354</v>
      </c>
      <c r="E403" s="7" t="str">
        <f>VLOOKUP(J404,data!C:AQ,17,0)</f>
        <v>Mir-Jar</v>
      </c>
      <c r="F403" s="265" t="s">
        <v>1731</v>
      </c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s="228" customFormat="1">
      <c r="A404" s="16" t="s">
        <v>1355</v>
      </c>
      <c r="B404" s="9" t="str">
        <f>VLOOKUP(J404,data!C:AQ,28,0)</f>
        <v>Anderle Jaromír</v>
      </c>
      <c r="C404" s="10"/>
      <c r="D404" s="11" t="s">
        <v>1356</v>
      </c>
      <c r="E404" s="17">
        <f>VLOOKUP(J404,data!C:D,2,0)</f>
        <v>77</v>
      </c>
      <c r="F404" s="266"/>
      <c r="G404" s="2"/>
      <c r="H404" s="2"/>
      <c r="I404" s="2"/>
      <c r="J404" s="216">
        <v>134</v>
      </c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s="237" customFormat="1" ht="4.5" customHeight="1">
      <c r="A405" s="240"/>
      <c r="B405" s="241"/>
      <c r="C405" s="242"/>
      <c r="D405" s="243"/>
      <c r="E405" s="244"/>
      <c r="F405" s="234"/>
      <c r="G405" s="235"/>
      <c r="H405" s="235"/>
      <c r="I405" s="235"/>
      <c r="J405" s="236"/>
      <c r="K405" s="235"/>
      <c r="L405" s="235"/>
      <c r="M405" s="235"/>
      <c r="N405" s="235"/>
      <c r="O405" s="235"/>
      <c r="P405" s="235"/>
      <c r="Q405" s="235"/>
      <c r="R405" s="235"/>
      <c r="S405" s="235"/>
      <c r="T405" s="235"/>
      <c r="U405" s="235"/>
      <c r="V405" s="235"/>
      <c r="W405" s="235"/>
      <c r="X405" s="235"/>
      <c r="Y405" s="235"/>
      <c r="Z405" s="235"/>
    </row>
    <row r="406" spans="1:26" s="228" customFormat="1" ht="12.75">
      <c r="A406" s="3" t="s">
        <v>1353</v>
      </c>
      <c r="B406" s="20" t="str">
        <f>VLOOKUP(J407,data!C:AQ,16,0)</f>
        <v>Fanny</v>
      </c>
      <c r="C406" s="5"/>
      <c r="D406" s="6" t="s">
        <v>1354</v>
      </c>
      <c r="E406" s="7" t="str">
        <f>VLOOKUP(J407,data!C:AQ,17,0)</f>
        <v>Kibitz Bohemia</v>
      </c>
      <c r="F406" s="265" t="s">
        <v>1734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s="228" customFormat="1">
      <c r="A407" s="16" t="s">
        <v>1355</v>
      </c>
      <c r="B407" s="9" t="str">
        <f>VLOOKUP(J407,data!C:AQ,28,0)</f>
        <v>Čejková Dana</v>
      </c>
      <c r="C407" s="10"/>
      <c r="D407" s="11" t="s">
        <v>1356</v>
      </c>
      <c r="E407" s="17">
        <f>VLOOKUP(J407,data!C:D,2,0)</f>
        <v>75</v>
      </c>
      <c r="F407" s="266"/>
      <c r="G407" s="2"/>
      <c r="H407" s="2"/>
      <c r="I407" s="2"/>
      <c r="J407" s="216">
        <v>132</v>
      </c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s="237" customFormat="1" ht="4.5" customHeight="1">
      <c r="A408" s="240"/>
      <c r="B408" s="241"/>
      <c r="C408" s="242"/>
      <c r="D408" s="243"/>
      <c r="E408" s="244"/>
      <c r="F408" s="234"/>
      <c r="G408" s="235"/>
      <c r="H408" s="235"/>
      <c r="I408" s="235"/>
      <c r="J408" s="236"/>
      <c r="K408" s="235"/>
      <c r="L408" s="235"/>
      <c r="M408" s="235"/>
      <c r="N408" s="235"/>
      <c r="O408" s="235"/>
      <c r="P408" s="235"/>
      <c r="Q408" s="235"/>
      <c r="R408" s="235"/>
      <c r="S408" s="235"/>
      <c r="T408" s="235"/>
      <c r="U408" s="235"/>
      <c r="V408" s="235"/>
      <c r="W408" s="235"/>
      <c r="X408" s="235"/>
      <c r="Y408" s="235"/>
      <c r="Z408" s="235"/>
    </row>
    <row r="409" spans="1:26" s="228" customFormat="1" ht="12.75">
      <c r="A409" s="3" t="s">
        <v>1353</v>
      </c>
      <c r="B409" s="20" t="str">
        <f>VLOOKUP(J410,data!C:AQ,16,0)</f>
        <v>Enya</v>
      </c>
      <c r="C409" s="5"/>
      <c r="D409" s="6" t="s">
        <v>1354</v>
      </c>
      <c r="E409" s="7" t="str">
        <f>VLOOKUP(J410,data!C:AQ,17,0)</f>
        <v>Perazma</v>
      </c>
      <c r="F409" s="265" t="s">
        <v>1733</v>
      </c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s="228" customFormat="1">
      <c r="A410" s="16" t="s">
        <v>1355</v>
      </c>
      <c r="B410" s="9" t="str">
        <f>VLOOKUP(J410,data!C:AQ,28,0)</f>
        <v>Prauzek Martin</v>
      </c>
      <c r="C410" s="10"/>
      <c r="D410" s="11" t="s">
        <v>1356</v>
      </c>
      <c r="E410" s="17">
        <f>VLOOKUP(J410,data!C:D,2,0)</f>
        <v>74</v>
      </c>
      <c r="F410" s="266"/>
      <c r="G410" s="2"/>
      <c r="H410" s="2"/>
      <c r="I410" s="2"/>
      <c r="J410" s="216">
        <v>131</v>
      </c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s="237" customFormat="1" ht="4.5" customHeight="1">
      <c r="A411" s="240"/>
      <c r="B411" s="241"/>
      <c r="C411" s="242"/>
      <c r="D411" s="243"/>
      <c r="E411" s="244"/>
      <c r="F411" s="234"/>
      <c r="G411" s="235"/>
      <c r="H411" s="235"/>
      <c r="I411" s="235"/>
      <c r="J411" s="236"/>
      <c r="K411" s="235"/>
      <c r="L411" s="235"/>
      <c r="M411" s="235"/>
      <c r="N411" s="235"/>
      <c r="O411" s="235"/>
      <c r="P411" s="235"/>
      <c r="Q411" s="235"/>
      <c r="R411" s="235"/>
      <c r="S411" s="235"/>
      <c r="T411" s="235"/>
      <c r="U411" s="235"/>
      <c r="V411" s="235"/>
      <c r="W411" s="235"/>
      <c r="X411" s="235"/>
      <c r="Y411" s="235"/>
      <c r="Z411" s="235"/>
    </row>
    <row r="412" spans="1:26" s="228" customFormat="1" ht="12.75">
      <c r="A412" s="3" t="s">
        <v>1353</v>
      </c>
      <c r="B412" s="20" t="str">
        <f>VLOOKUP(J413,data!C:AQ,16,0)</f>
        <v>Zerie</v>
      </c>
      <c r="C412" s="5"/>
      <c r="D412" s="6" t="s">
        <v>1354</v>
      </c>
      <c r="E412" s="7" t="str">
        <f>VLOOKUP(J413,data!C:AQ,17,0)</f>
        <v>from Georgeland</v>
      </c>
      <c r="F412" s="265" t="s">
        <v>1730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s="228" customFormat="1">
      <c r="A413" s="16" t="s">
        <v>1355</v>
      </c>
      <c r="B413" s="9" t="str">
        <f>VLOOKUP(J413,data!C:AQ,28,0)</f>
        <v>Dovrtěl Jiří, Mgr., LL.M.</v>
      </c>
      <c r="C413" s="10"/>
      <c r="D413" s="11" t="s">
        <v>1356</v>
      </c>
      <c r="E413" s="17">
        <f>VLOOKUP(J413,data!C:D,2,0)</f>
        <v>80</v>
      </c>
      <c r="F413" s="266"/>
      <c r="G413" s="2"/>
      <c r="H413" s="2"/>
      <c r="I413" s="2"/>
      <c r="J413" s="216">
        <v>137</v>
      </c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s="237" customFormat="1" ht="4.5" customHeight="1">
      <c r="A414" s="240"/>
      <c r="B414" s="241"/>
      <c r="C414" s="242"/>
      <c r="D414" s="243"/>
      <c r="E414" s="244"/>
      <c r="F414" s="234"/>
      <c r="G414" s="235"/>
      <c r="H414" s="235"/>
      <c r="I414" s="235"/>
      <c r="J414" s="236"/>
      <c r="K414" s="235"/>
      <c r="L414" s="235"/>
      <c r="M414" s="235"/>
      <c r="N414" s="235"/>
      <c r="O414" s="235"/>
      <c r="P414" s="235"/>
      <c r="Q414" s="235"/>
      <c r="R414" s="235"/>
      <c r="S414" s="235"/>
      <c r="T414" s="235"/>
      <c r="U414" s="235"/>
      <c r="V414" s="235"/>
      <c r="W414" s="235"/>
      <c r="X414" s="235"/>
      <c r="Y414" s="235"/>
      <c r="Z414" s="235"/>
    </row>
    <row r="415" spans="1:26" s="228" customFormat="1" ht="12.75">
      <c r="A415" s="3" t="s">
        <v>1353</v>
      </c>
      <c r="B415" s="20" t="str">
        <f>VLOOKUP(J416,data!C:AQ,16,0)</f>
        <v>Enny</v>
      </c>
      <c r="C415" s="5"/>
      <c r="D415" s="6" t="s">
        <v>1354</v>
      </c>
      <c r="E415" s="7" t="str">
        <f>VLOOKUP(J416,data!C:AQ,17,0)</f>
        <v>King Regent</v>
      </c>
      <c r="F415" s="265" t="s">
        <v>1738</v>
      </c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s="228" customFormat="1">
      <c r="A416" s="16" t="s">
        <v>1355</v>
      </c>
      <c r="B416" s="9" t="str">
        <f>VLOOKUP(J416,data!C:AQ,28,0)</f>
        <v>Bartušková Ivana</v>
      </c>
      <c r="C416" s="10"/>
      <c r="D416" s="11" t="s">
        <v>1356</v>
      </c>
      <c r="E416" s="17">
        <f>VLOOKUP(J416,data!C:D,2,0)</f>
        <v>73</v>
      </c>
      <c r="F416" s="266"/>
      <c r="G416" s="2"/>
      <c r="H416" s="2"/>
      <c r="I416" s="2"/>
      <c r="J416" s="216">
        <v>130</v>
      </c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s="237" customFormat="1" ht="4.5" customHeight="1">
      <c r="A417" s="240"/>
      <c r="B417" s="241"/>
      <c r="C417" s="242"/>
      <c r="D417" s="243"/>
      <c r="E417" s="244"/>
      <c r="F417" s="234"/>
      <c r="G417" s="235"/>
      <c r="H417" s="235"/>
      <c r="I417" s="235"/>
      <c r="J417" s="236"/>
      <c r="K417" s="235"/>
      <c r="L417" s="235"/>
      <c r="M417" s="235"/>
      <c r="N417" s="235"/>
      <c r="O417" s="235"/>
      <c r="P417" s="235"/>
      <c r="Q417" s="235"/>
      <c r="R417" s="235"/>
      <c r="S417" s="235"/>
      <c r="T417" s="235"/>
      <c r="U417" s="235"/>
      <c r="V417" s="235"/>
      <c r="W417" s="235"/>
      <c r="X417" s="235"/>
      <c r="Y417" s="235"/>
      <c r="Z417" s="235"/>
    </row>
    <row r="418" spans="1:26" s="228" customFormat="1" ht="12.75">
      <c r="A418" s="3" t="s">
        <v>1353</v>
      </c>
      <c r="B418" s="20" t="str">
        <f>VLOOKUP(J419,data!C:AQ,16,0)</f>
        <v>Christina</v>
      </c>
      <c r="C418" s="5"/>
      <c r="D418" s="6" t="s">
        <v>1354</v>
      </c>
      <c r="E418" s="7" t="str">
        <f>VLOOKUP(J419,data!C:AQ,17,0)</f>
        <v>Kondi Nova</v>
      </c>
      <c r="F418" s="265" t="s">
        <v>1728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s="228" customFormat="1">
      <c r="A419" s="16" t="s">
        <v>1355</v>
      </c>
      <c r="B419" s="9" t="str">
        <f>VLOOKUP(J419,data!C:AQ,28,0)</f>
        <v>Černovský Miloslav</v>
      </c>
      <c r="C419" s="10"/>
      <c r="D419" s="11" t="s">
        <v>1356</v>
      </c>
      <c r="E419" s="17">
        <f>VLOOKUP(J419,data!C:D,2,0)</f>
        <v>71</v>
      </c>
      <c r="F419" s="266"/>
      <c r="G419" s="2"/>
      <c r="H419" s="2"/>
      <c r="I419" s="2"/>
      <c r="J419" s="216">
        <v>128</v>
      </c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s="237" customFormat="1" ht="4.5" customHeight="1">
      <c r="A420" s="240"/>
      <c r="B420" s="241"/>
      <c r="C420" s="242"/>
      <c r="D420" s="243"/>
      <c r="E420" s="244"/>
      <c r="F420" s="234"/>
      <c r="G420" s="235"/>
      <c r="H420" s="235"/>
      <c r="I420" s="235"/>
      <c r="J420" s="236"/>
      <c r="K420" s="235"/>
      <c r="L420" s="235"/>
      <c r="M420" s="235"/>
      <c r="N420" s="235"/>
      <c r="O420" s="235"/>
      <c r="P420" s="235"/>
      <c r="Q420" s="235"/>
      <c r="R420" s="235"/>
      <c r="S420" s="235"/>
      <c r="T420" s="235"/>
      <c r="U420" s="235"/>
      <c r="V420" s="235"/>
      <c r="W420" s="235"/>
      <c r="X420" s="235"/>
      <c r="Y420" s="235"/>
      <c r="Z420" s="235"/>
    </row>
    <row r="421" spans="1:26" s="228" customFormat="1" ht="12.75">
      <c r="A421" s="3" t="s">
        <v>1353</v>
      </c>
      <c r="B421" s="20" t="str">
        <f>VLOOKUP(J422,data!C:AQ,16,0)</f>
        <v>Xara</v>
      </c>
      <c r="C421" s="5"/>
      <c r="D421" s="6" t="s">
        <v>1354</v>
      </c>
      <c r="E421" s="7" t="str">
        <f>VLOOKUP(J422,data!C:AQ,17,0)</f>
        <v>from Georgeland</v>
      </c>
      <c r="F421" s="265" t="s">
        <v>1729</v>
      </c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s="228" customFormat="1">
      <c r="A422" s="16" t="s">
        <v>1355</v>
      </c>
      <c r="B422" s="9" t="str">
        <f>VLOOKUP(J422,data!C:AQ,28,0)</f>
        <v>Dovrtěl Jiří, Mgr., LL.M.</v>
      </c>
      <c r="C422" s="10"/>
      <c r="D422" s="11" t="s">
        <v>1356</v>
      </c>
      <c r="E422" s="17">
        <f>VLOOKUP(J422,data!C:D,2,0)</f>
        <v>78</v>
      </c>
      <c r="F422" s="266"/>
      <c r="G422" s="2"/>
      <c r="H422" s="2"/>
      <c r="I422" s="2"/>
      <c r="J422" s="216">
        <v>135</v>
      </c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s="228" customFormat="1" ht="4.5" customHeight="1">
      <c r="A423" s="2"/>
      <c r="B423" s="14"/>
      <c r="C423" s="2"/>
      <c r="D423" s="2"/>
      <c r="E423" s="2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s="228" customFormat="1" ht="12.75">
      <c r="A424" s="3" t="s">
        <v>1353</v>
      </c>
      <c r="B424" s="20" t="str">
        <f>VLOOKUP(J425,data!C:AQ,16,0)</f>
        <v>Y-Torvi</v>
      </c>
      <c r="C424" s="5"/>
      <c r="D424" s="6" t="s">
        <v>1354</v>
      </c>
      <c r="E424" s="7" t="str">
        <f>VLOOKUP(J425,data!C:AQ,17,0)</f>
        <v>from Georgeland</v>
      </c>
      <c r="F424" s="265" t="s">
        <v>1735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s="228" customFormat="1">
      <c r="A425" s="16" t="s">
        <v>1355</v>
      </c>
      <c r="B425" s="9" t="str">
        <f>VLOOKUP(J425,data!C:AQ,28,0)</f>
        <v>Kozáková Kateřina</v>
      </c>
      <c r="C425" s="10"/>
      <c r="D425" s="11" t="s">
        <v>1356</v>
      </c>
      <c r="E425" s="17">
        <f>VLOOKUP(J425,data!C:D,2,0)</f>
        <v>79</v>
      </c>
      <c r="F425" s="266"/>
      <c r="G425" s="2"/>
      <c r="H425" s="2"/>
      <c r="I425" s="2"/>
      <c r="J425" s="216">
        <v>136</v>
      </c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s="237" customFormat="1" ht="4.5" customHeight="1">
      <c r="A426" s="240"/>
      <c r="B426" s="241"/>
      <c r="C426" s="242"/>
      <c r="D426" s="243"/>
      <c r="E426" s="244"/>
      <c r="F426" s="234"/>
      <c r="G426" s="235"/>
      <c r="H426" s="235"/>
      <c r="I426" s="235"/>
      <c r="J426" s="236"/>
      <c r="K426" s="235"/>
      <c r="L426" s="235"/>
      <c r="M426" s="235"/>
      <c r="N426" s="235"/>
      <c r="O426" s="235"/>
      <c r="P426" s="235"/>
      <c r="Q426" s="235"/>
      <c r="R426" s="235"/>
      <c r="S426" s="235"/>
      <c r="T426" s="235"/>
      <c r="U426" s="235"/>
      <c r="V426" s="235"/>
      <c r="W426" s="235"/>
      <c r="X426" s="235"/>
      <c r="Y426" s="235"/>
      <c r="Z426" s="235"/>
    </row>
    <row r="427" spans="1:26" s="228" customFormat="1" ht="12.75">
      <c r="A427" s="3" t="s">
        <v>1353</v>
      </c>
      <c r="B427" s="20" t="str">
        <f>VLOOKUP(J428,data!C:AQ,16,0)</f>
        <v>Charlotte</v>
      </c>
      <c r="C427" s="5"/>
      <c r="D427" s="6" t="s">
        <v>1354</v>
      </c>
      <c r="E427" s="7" t="str">
        <f>VLOOKUP(J428,data!C:AQ,17,0)</f>
        <v>z Kyjovského údolí</v>
      </c>
      <c r="F427" s="265" t="s">
        <v>359</v>
      </c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s="228" customFormat="1">
      <c r="A428" s="16" t="s">
        <v>1355</v>
      </c>
      <c r="B428" s="9" t="str">
        <f>VLOOKUP(J428,data!C:AQ,28,0)</f>
        <v>Hanousek Milan</v>
      </c>
      <c r="C428" s="10"/>
      <c r="D428" s="11" t="s">
        <v>1356</v>
      </c>
      <c r="E428" s="17">
        <f>VLOOKUP(J428,data!C:D,2,0)</f>
        <v>70</v>
      </c>
      <c r="F428" s="266"/>
      <c r="G428" s="2"/>
      <c r="H428" s="2"/>
      <c r="I428" s="2"/>
      <c r="J428" s="216">
        <v>127</v>
      </c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s="237" customFormat="1" ht="4.5" customHeight="1">
      <c r="A429" s="240"/>
      <c r="B429" s="241"/>
      <c r="C429" s="242"/>
      <c r="D429" s="243"/>
      <c r="E429" s="244"/>
      <c r="F429" s="234"/>
      <c r="G429" s="235"/>
      <c r="H429" s="235"/>
      <c r="I429" s="235"/>
      <c r="J429" s="236"/>
      <c r="K429" s="235"/>
      <c r="L429" s="235"/>
      <c r="M429" s="235"/>
      <c r="N429" s="235"/>
      <c r="O429" s="235"/>
      <c r="P429" s="235"/>
      <c r="Q429" s="235"/>
      <c r="R429" s="235"/>
      <c r="S429" s="235"/>
      <c r="T429" s="235"/>
      <c r="U429" s="235"/>
      <c r="V429" s="235"/>
      <c r="W429" s="235"/>
      <c r="X429" s="235"/>
      <c r="Y429" s="235"/>
      <c r="Z429" s="235"/>
    </row>
    <row r="430" spans="1:26" s="228" customFormat="1" ht="12.75">
      <c r="A430" s="3" t="s">
        <v>1353</v>
      </c>
      <c r="B430" s="20" t="str">
        <f>VLOOKUP(J431,data!C:AQ,16,0)</f>
        <v>Cllarisa</v>
      </c>
      <c r="C430" s="5"/>
      <c r="D430" s="6" t="s">
        <v>1354</v>
      </c>
      <c r="E430" s="7" t="str">
        <f>VLOOKUP(J431,data!C:AQ,17,0)</f>
        <v>Perazma</v>
      </c>
      <c r="F430" s="265" t="s">
        <v>359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s="228" customFormat="1">
      <c r="A431" s="16" t="s">
        <v>1355</v>
      </c>
      <c r="B431" s="9" t="str">
        <f>VLOOKUP(J431,data!C:AQ,28,0)</f>
        <v>Prauzek Martin</v>
      </c>
      <c r="C431" s="10"/>
      <c r="D431" s="11" t="s">
        <v>1356</v>
      </c>
      <c r="E431" s="17">
        <f>VLOOKUP(J431,data!C:D,2,0)</f>
        <v>72</v>
      </c>
      <c r="F431" s="266"/>
      <c r="G431" s="2"/>
      <c r="H431" s="2"/>
      <c r="I431" s="2"/>
      <c r="J431" s="216">
        <v>129</v>
      </c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s="237" customFormat="1" ht="4.5" customHeight="1">
      <c r="A432" s="240"/>
      <c r="B432" s="241"/>
      <c r="C432" s="242"/>
      <c r="D432" s="243"/>
      <c r="E432" s="244"/>
      <c r="F432" s="234"/>
      <c r="G432" s="235"/>
      <c r="H432" s="235"/>
      <c r="I432" s="235"/>
      <c r="J432" s="236"/>
      <c r="K432" s="235"/>
      <c r="L432" s="235"/>
      <c r="M432" s="235"/>
      <c r="N432" s="235"/>
      <c r="O432" s="235"/>
      <c r="P432" s="235"/>
      <c r="Q432" s="235"/>
      <c r="R432" s="235"/>
      <c r="S432" s="235"/>
      <c r="T432" s="235"/>
      <c r="U432" s="235"/>
      <c r="V432" s="235"/>
      <c r="W432" s="235"/>
      <c r="X432" s="235"/>
      <c r="Y432" s="235"/>
      <c r="Z432" s="235"/>
    </row>
    <row r="433" spans="1:26" s="228" customFormat="1" ht="12.75">
      <c r="A433" s="3" t="s">
        <v>1353</v>
      </c>
      <c r="B433" s="20" t="str">
        <f>VLOOKUP(J434,data!C:AQ,16,0)</f>
        <v>Sia Rosa</v>
      </c>
      <c r="C433" s="5"/>
      <c r="D433" s="6" t="s">
        <v>1354</v>
      </c>
      <c r="E433" s="7" t="str">
        <f>VLOOKUP(J434,data!C:AQ,17,0)</f>
        <v>od Hradčanského rybníka</v>
      </c>
      <c r="F433" s="265" t="s">
        <v>359</v>
      </c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s="228" customFormat="1">
      <c r="A434" s="16" t="s">
        <v>1355</v>
      </c>
      <c r="B434" s="9" t="str">
        <f>VLOOKUP(J434,data!C:AQ,28,0)</f>
        <v>Rychnovský Tomáš</v>
      </c>
      <c r="C434" s="10"/>
      <c r="D434" s="11" t="s">
        <v>1356</v>
      </c>
      <c r="E434" s="17">
        <f>VLOOKUP(J434,data!C:D,2,0)</f>
        <v>76</v>
      </c>
      <c r="F434" s="266"/>
      <c r="G434" s="2"/>
      <c r="H434" s="2"/>
      <c r="I434" s="2"/>
      <c r="J434" s="216">
        <v>133</v>
      </c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s="237" customFormat="1" ht="4.5" customHeight="1">
      <c r="A435" s="240"/>
      <c r="B435" s="241"/>
      <c r="C435" s="242"/>
      <c r="D435" s="243"/>
      <c r="E435" s="244"/>
      <c r="F435" s="234"/>
      <c r="G435" s="235"/>
      <c r="H435" s="235"/>
      <c r="I435" s="235"/>
      <c r="J435" s="236"/>
      <c r="K435" s="235"/>
      <c r="L435" s="235"/>
      <c r="M435" s="235"/>
      <c r="N435" s="235"/>
      <c r="O435" s="235"/>
      <c r="P435" s="235"/>
      <c r="Q435" s="235"/>
      <c r="R435" s="235"/>
      <c r="S435" s="235"/>
      <c r="T435" s="235"/>
      <c r="U435" s="235"/>
      <c r="V435" s="235"/>
      <c r="W435" s="235"/>
      <c r="X435" s="235"/>
      <c r="Y435" s="235"/>
      <c r="Z435" s="235"/>
    </row>
    <row r="436" spans="1:26" s="237" customFormat="1" ht="20.25">
      <c r="A436" s="240"/>
      <c r="B436" s="241"/>
      <c r="C436" s="242"/>
      <c r="D436" s="243"/>
      <c r="E436" s="244"/>
      <c r="F436" s="234"/>
      <c r="G436" s="235"/>
      <c r="H436" s="235"/>
      <c r="I436" s="235"/>
      <c r="J436" s="236"/>
      <c r="K436" s="235"/>
      <c r="L436" s="235"/>
      <c r="M436" s="235"/>
      <c r="N436" s="235"/>
      <c r="O436" s="235"/>
      <c r="P436" s="235"/>
      <c r="Q436" s="235"/>
      <c r="R436" s="235"/>
      <c r="S436" s="235"/>
      <c r="T436" s="235"/>
      <c r="U436" s="235"/>
      <c r="V436" s="235"/>
      <c r="W436" s="235"/>
      <c r="X436" s="235"/>
      <c r="Y436" s="235"/>
      <c r="Z436" s="235"/>
    </row>
    <row r="437" spans="1:26" ht="23.25">
      <c r="A437" s="271" t="s">
        <v>1369</v>
      </c>
      <c r="B437" s="270"/>
      <c r="C437" s="270"/>
      <c r="D437" s="270"/>
      <c r="E437" s="2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3" t="s">
        <v>1353</v>
      </c>
      <c r="B438" s="4" t="str">
        <f>VLOOKUP(J439,data!C:AQ,16,0)</f>
        <v>Bellatrix</v>
      </c>
      <c r="C438" s="5"/>
      <c r="D438" s="6" t="s">
        <v>1354</v>
      </c>
      <c r="E438" s="7" t="str">
        <f>VLOOKUP(J439,data!C:AQ,17,0)</f>
        <v>Mirtan Bohemia</v>
      </c>
      <c r="F438" s="265" t="s">
        <v>1727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16" t="s">
        <v>1355</v>
      </c>
      <c r="B439" s="9" t="str">
        <f>VLOOKUP(J439,data!C:AQ,28,0)</f>
        <v>Smětalová Martina</v>
      </c>
      <c r="C439" s="10"/>
      <c r="D439" s="11" t="s">
        <v>1356</v>
      </c>
      <c r="E439" s="17">
        <f>VLOOKUP(J439,data!C:D,2,0)</f>
        <v>81</v>
      </c>
      <c r="F439" s="266"/>
      <c r="G439" s="2"/>
      <c r="H439" s="2"/>
      <c r="I439" s="2"/>
      <c r="J439" s="13">
        <v>138</v>
      </c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4.5" customHeight="1">
      <c r="A440" s="2"/>
      <c r="B440" s="14"/>
      <c r="C440" s="2"/>
      <c r="D440" s="2"/>
      <c r="E440" s="1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3" t="s">
        <v>1353</v>
      </c>
      <c r="B441" s="4" t="str">
        <f>VLOOKUP(J442,data!C:AQ,16,0)</f>
        <v>Jasmína</v>
      </c>
      <c r="C441" s="5"/>
      <c r="D441" s="6" t="s">
        <v>1354</v>
      </c>
      <c r="E441" s="7" t="str">
        <f>VLOOKUP(J442,data!C:AQ,17,0)</f>
        <v xml:space="preserve">z Kadaňského podhradí </v>
      </c>
      <c r="F441" s="265" t="s">
        <v>1726</v>
      </c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16" t="s">
        <v>1355</v>
      </c>
      <c r="B442" s="9" t="str">
        <f>VLOOKUP(J442,data!C:AQ,28,0)</f>
        <v>Jágrová Hana</v>
      </c>
      <c r="C442" s="10"/>
      <c r="D442" s="11" t="s">
        <v>1356</v>
      </c>
      <c r="E442" s="17">
        <f>VLOOKUP(J442,data!C:D,2,0)</f>
        <v>82</v>
      </c>
      <c r="F442" s="266"/>
      <c r="G442" s="2"/>
      <c r="H442" s="2"/>
      <c r="I442" s="2"/>
      <c r="J442" s="13">
        <v>139</v>
      </c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3.25">
      <c r="A443" s="271" t="s">
        <v>1370</v>
      </c>
      <c r="B443" s="270"/>
      <c r="C443" s="270"/>
      <c r="D443" s="270"/>
      <c r="E443" s="2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s="228" customFormat="1" ht="12.75">
      <c r="A444" s="3" t="s">
        <v>1353</v>
      </c>
      <c r="B444" s="20" t="str">
        <f>VLOOKUP(J445,data!C:AQ,16,0)</f>
        <v>Mero</v>
      </c>
      <c r="C444" s="5"/>
      <c r="D444" s="6" t="s">
        <v>1354</v>
      </c>
      <c r="E444" s="7" t="str">
        <f>VLOOKUP(J445,data!C:AQ,17,0)</f>
        <v>vor Pallas Athene</v>
      </c>
      <c r="F444" s="265" t="s">
        <v>1727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s="228" customFormat="1">
      <c r="A445" s="16" t="s">
        <v>1355</v>
      </c>
      <c r="B445" s="9" t="str">
        <f>VLOOKUP(J445,data!C:AQ,28,0)</f>
        <v>Kopeční Irena a Roman</v>
      </c>
      <c r="C445" s="10"/>
      <c r="D445" s="11" t="s">
        <v>1356</v>
      </c>
      <c r="E445" s="12">
        <f>VLOOKUP(J445,data!C:D,2,0)</f>
        <v>64</v>
      </c>
      <c r="F445" s="266"/>
      <c r="G445" s="2"/>
      <c r="H445" s="2"/>
      <c r="I445" s="2"/>
      <c r="J445" s="216">
        <v>146</v>
      </c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s="237" customFormat="1" ht="4.5" customHeight="1">
      <c r="A446" s="240"/>
      <c r="B446" s="241"/>
      <c r="C446" s="242"/>
      <c r="D446" s="243"/>
      <c r="E446" s="244"/>
      <c r="F446" s="234"/>
      <c r="G446" s="235"/>
      <c r="H446" s="235"/>
      <c r="I446" s="235"/>
      <c r="J446" s="236"/>
      <c r="K446" s="235"/>
      <c r="L446" s="235"/>
      <c r="M446" s="235"/>
      <c r="N446" s="235"/>
      <c r="O446" s="235"/>
      <c r="P446" s="235"/>
      <c r="Q446" s="235"/>
      <c r="R446" s="235"/>
      <c r="S446" s="235"/>
      <c r="T446" s="235"/>
      <c r="U446" s="235"/>
      <c r="V446" s="235"/>
      <c r="W446" s="235"/>
      <c r="X446" s="235"/>
      <c r="Y446" s="235"/>
      <c r="Z446" s="235"/>
    </row>
    <row r="447" spans="1:26" s="228" customFormat="1" ht="12.75">
      <c r="A447" s="3" t="s">
        <v>1353</v>
      </c>
      <c r="B447" s="20" t="str">
        <f>VLOOKUP(J448,data!C:AQ,16,0)</f>
        <v>Grim</v>
      </c>
      <c r="C447" s="5"/>
      <c r="D447" s="6" t="s">
        <v>1354</v>
      </c>
      <c r="E447" s="7" t="str">
        <f>VLOOKUP(J448,data!C:AQ,17,0)</f>
        <v>Best of the Gods</v>
      </c>
      <c r="F447" s="265" t="s">
        <v>1726</v>
      </c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s="228" customFormat="1">
      <c r="A448" s="16" t="s">
        <v>1355</v>
      </c>
      <c r="B448" s="9" t="str">
        <f>VLOOKUP(J448,data!C:AQ,28,0)</f>
        <v>Součková Alena</v>
      </c>
      <c r="C448" s="10"/>
      <c r="D448" s="11" t="s">
        <v>1356</v>
      </c>
      <c r="E448" s="12">
        <f>VLOOKUP(J448,data!C:D,2,0)</f>
        <v>61</v>
      </c>
      <c r="F448" s="266"/>
      <c r="G448" s="2"/>
      <c r="H448" s="2"/>
      <c r="I448" s="2"/>
      <c r="J448" s="216">
        <v>143</v>
      </c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s="237" customFormat="1" ht="4.5" customHeight="1">
      <c r="A449" s="240"/>
      <c r="B449" s="241"/>
      <c r="C449" s="242"/>
      <c r="D449" s="243"/>
      <c r="E449" s="244"/>
      <c r="F449" s="234"/>
      <c r="G449" s="235"/>
      <c r="H449" s="235"/>
      <c r="I449" s="235"/>
      <c r="J449" s="236"/>
      <c r="K449" s="235"/>
      <c r="L449" s="235"/>
      <c r="M449" s="235"/>
      <c r="N449" s="235"/>
      <c r="O449" s="235"/>
      <c r="P449" s="235"/>
      <c r="Q449" s="235"/>
      <c r="R449" s="235"/>
      <c r="S449" s="235"/>
      <c r="T449" s="235"/>
      <c r="U449" s="235"/>
      <c r="V449" s="235"/>
      <c r="W449" s="235"/>
      <c r="X449" s="235"/>
      <c r="Y449" s="235"/>
      <c r="Z449" s="235"/>
    </row>
    <row r="450" spans="1:26" s="228" customFormat="1" ht="12.75">
      <c r="A450" s="3" t="s">
        <v>1353</v>
      </c>
      <c r="B450" s="20" t="str">
        <f>VLOOKUP(J451,data!C:AQ,16,0)</f>
        <v>Homer</v>
      </c>
      <c r="C450" s="5"/>
      <c r="D450" s="6" t="s">
        <v>1354</v>
      </c>
      <c r="E450" s="7" t="str">
        <f>VLOOKUP(J451,data!C:AQ,17,0)</f>
        <v>Provocativo</v>
      </c>
      <c r="F450" s="265" t="s">
        <v>1731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s="228" customFormat="1">
      <c r="A451" s="16" t="s">
        <v>1355</v>
      </c>
      <c r="B451" s="9" t="str">
        <f>VLOOKUP(J451,data!C:AQ,28,0)</f>
        <v>Zahradníková Barbora</v>
      </c>
      <c r="C451" s="10"/>
      <c r="D451" s="11" t="s">
        <v>1356</v>
      </c>
      <c r="E451" s="12">
        <f>VLOOKUP(J451,data!C:D,2,0)</f>
        <v>62</v>
      </c>
      <c r="F451" s="266"/>
      <c r="G451" s="2"/>
      <c r="H451" s="2"/>
      <c r="I451" s="2"/>
      <c r="J451" s="216">
        <v>144</v>
      </c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s="237" customFormat="1" ht="4.5" customHeight="1">
      <c r="A452" s="240"/>
      <c r="B452" s="241"/>
      <c r="C452" s="242"/>
      <c r="D452" s="243"/>
      <c r="E452" s="244"/>
      <c r="F452" s="234"/>
      <c r="G452" s="235"/>
      <c r="H452" s="235"/>
      <c r="I452" s="235"/>
      <c r="J452" s="236"/>
      <c r="K452" s="235"/>
      <c r="L452" s="235"/>
      <c r="M452" s="235"/>
      <c r="N452" s="235"/>
      <c r="O452" s="235"/>
      <c r="P452" s="235"/>
      <c r="Q452" s="235"/>
      <c r="R452" s="235"/>
      <c r="S452" s="235"/>
      <c r="T452" s="235"/>
      <c r="U452" s="235"/>
      <c r="V452" s="235"/>
      <c r="W452" s="235"/>
      <c r="X452" s="235"/>
      <c r="Y452" s="235"/>
      <c r="Z452" s="235"/>
    </row>
    <row r="453" spans="1:26" s="228" customFormat="1" ht="12.75">
      <c r="A453" s="3" t="s">
        <v>1353</v>
      </c>
      <c r="B453" s="20" t="str">
        <f>VLOOKUP(J454,data!C:AQ,16,0)</f>
        <v>Cooper</v>
      </c>
      <c r="C453" s="5"/>
      <c r="D453" s="6" t="s">
        <v>1354</v>
      </c>
      <c r="E453" s="7" t="str">
        <f>VLOOKUP(J454,data!C:AQ,17,0)</f>
        <v>v. Türkenkopf</v>
      </c>
      <c r="F453" s="265" t="s">
        <v>1734</v>
      </c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s="228" customFormat="1">
      <c r="A454" s="16" t="s">
        <v>1355</v>
      </c>
      <c r="B454" s="9" t="str">
        <f>VLOOKUP(J454,data!C:AQ,28,0)</f>
        <v>Zahradníková Barbora</v>
      </c>
      <c r="C454" s="10"/>
      <c r="D454" s="11" t="s">
        <v>1356</v>
      </c>
      <c r="E454" s="12">
        <f>VLOOKUP(J454,data!C:D,2,0)</f>
        <v>60</v>
      </c>
      <c r="F454" s="266"/>
      <c r="G454" s="2"/>
      <c r="H454" s="2"/>
      <c r="I454" s="2"/>
      <c r="J454" s="216">
        <v>142</v>
      </c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s="237" customFormat="1" ht="4.5" customHeight="1">
      <c r="A455" s="240"/>
      <c r="B455" s="241"/>
      <c r="C455" s="242"/>
      <c r="D455" s="243"/>
      <c r="E455" s="244"/>
      <c r="F455" s="234"/>
      <c r="G455" s="235"/>
      <c r="H455" s="235"/>
      <c r="I455" s="235"/>
      <c r="J455" s="236"/>
      <c r="K455" s="235"/>
      <c r="L455" s="235"/>
      <c r="M455" s="235"/>
      <c r="N455" s="235"/>
      <c r="O455" s="235"/>
      <c r="P455" s="235"/>
      <c r="Q455" s="235"/>
      <c r="R455" s="235"/>
      <c r="S455" s="235"/>
      <c r="T455" s="235"/>
      <c r="U455" s="235"/>
      <c r="V455" s="235"/>
      <c r="W455" s="235"/>
      <c r="X455" s="235"/>
      <c r="Y455" s="235"/>
      <c r="Z455" s="235"/>
    </row>
    <row r="456" spans="1:26" s="228" customFormat="1" ht="12.75">
      <c r="A456" s="3" t="s">
        <v>1353</v>
      </c>
      <c r="B456" s="20" t="str">
        <f>VLOOKUP(J457,data!C:AQ,16,0)</f>
        <v>Lionn</v>
      </c>
      <c r="C456" s="5"/>
      <c r="D456" s="6" t="s">
        <v>1354</v>
      </c>
      <c r="E456" s="7" t="str">
        <f>VLOOKUP(J457,data!C:AQ,17,0)</f>
        <v>Cetrio</v>
      </c>
      <c r="F456" s="265" t="s">
        <v>1733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s="228" customFormat="1">
      <c r="A457" s="16" t="s">
        <v>1355</v>
      </c>
      <c r="B457" s="9" t="str">
        <f>VLOOKUP(J457,data!C:AQ,28,0)</f>
        <v>Černovský Miloslav</v>
      </c>
      <c r="C457" s="10"/>
      <c r="D457" s="11" t="s">
        <v>1356</v>
      </c>
      <c r="E457" s="12">
        <f>VLOOKUP(J457,data!C:D,2,0)</f>
        <v>63</v>
      </c>
      <c r="F457" s="266"/>
      <c r="G457" s="2"/>
      <c r="H457" s="2"/>
      <c r="I457" s="2"/>
      <c r="J457" s="216">
        <v>145</v>
      </c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s="237" customFormat="1" ht="4.5" customHeight="1">
      <c r="A458" s="240"/>
      <c r="B458" s="241"/>
      <c r="C458" s="242"/>
      <c r="D458" s="243"/>
      <c r="E458" s="244"/>
      <c r="F458" s="234"/>
      <c r="G458" s="235"/>
      <c r="H458" s="235"/>
      <c r="I458" s="235"/>
      <c r="J458" s="236"/>
      <c r="K458" s="235"/>
      <c r="L458" s="235"/>
      <c r="M458" s="235"/>
      <c r="N458" s="235"/>
      <c r="O458" s="235"/>
      <c r="P458" s="235"/>
      <c r="Q458" s="235"/>
      <c r="R458" s="235"/>
      <c r="S458" s="235"/>
      <c r="T458" s="235"/>
      <c r="U458" s="235"/>
      <c r="V458" s="235"/>
      <c r="W458" s="235"/>
      <c r="X458" s="235"/>
      <c r="Y458" s="235"/>
      <c r="Z458" s="235"/>
    </row>
    <row r="459" spans="1:26" s="228" customFormat="1" ht="12.75">
      <c r="A459" s="3" t="s">
        <v>1353</v>
      </c>
      <c r="B459" s="20" t="s">
        <v>1371</v>
      </c>
      <c r="C459" s="5"/>
      <c r="D459" s="6" t="s">
        <v>1354</v>
      </c>
      <c r="E459" s="7" t="str">
        <f>VLOOKUP(J460,data!C:AQ,17,0)</f>
        <v xml:space="preserve">Buranos Lobos </v>
      </c>
      <c r="F459" s="265" t="s">
        <v>1732</v>
      </c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s="228" customFormat="1">
      <c r="A460" s="16" t="s">
        <v>1355</v>
      </c>
      <c r="B460" s="9" t="str">
        <f>VLOOKUP(J460,data!C:AQ,28,0)</f>
        <v>Sýkorová Eva</v>
      </c>
      <c r="C460" s="10"/>
      <c r="D460" s="11" t="s">
        <v>1356</v>
      </c>
      <c r="E460" s="12">
        <f>VLOOKUP(J460,data!C:D,2,0)</f>
        <v>65</v>
      </c>
      <c r="F460" s="266"/>
      <c r="G460" s="2"/>
      <c r="H460" s="2"/>
      <c r="I460" s="2"/>
      <c r="J460" s="216">
        <v>147</v>
      </c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s="237" customFormat="1" ht="4.5" customHeight="1">
      <c r="A461" s="240"/>
      <c r="B461" s="241"/>
      <c r="C461" s="242"/>
      <c r="D461" s="243"/>
      <c r="E461" s="244"/>
      <c r="F461" s="234"/>
      <c r="G461" s="235"/>
      <c r="H461" s="235"/>
      <c r="I461" s="235"/>
      <c r="J461" s="236"/>
      <c r="K461" s="235"/>
      <c r="L461" s="235"/>
      <c r="M461" s="235"/>
      <c r="N461" s="235"/>
      <c r="O461" s="235"/>
      <c r="P461" s="235"/>
      <c r="Q461" s="235"/>
      <c r="R461" s="235"/>
      <c r="S461" s="235"/>
      <c r="T461" s="235"/>
      <c r="U461" s="235"/>
      <c r="V461" s="235"/>
      <c r="W461" s="235"/>
      <c r="X461" s="235"/>
      <c r="Y461" s="235"/>
      <c r="Z461" s="235"/>
    </row>
    <row r="462" spans="1:26" s="228" customFormat="1" ht="12.75">
      <c r="A462" s="3" t="s">
        <v>1353</v>
      </c>
      <c r="B462" s="20" t="str">
        <f>VLOOKUP(J463,data!C:AQ,16,0)</f>
        <v>Art</v>
      </c>
      <c r="C462" s="5"/>
      <c r="D462" s="6" t="s">
        <v>1354</v>
      </c>
      <c r="E462" s="7" t="str">
        <f>VLOOKUP(J463,data!C:AQ,17,0)</f>
        <v>Geodis</v>
      </c>
      <c r="F462" s="265" t="s">
        <v>359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s="228" customFormat="1">
      <c r="A463" s="16" t="s">
        <v>1355</v>
      </c>
      <c r="B463" s="9" t="str">
        <f>VLOOKUP(J463,data!C:AQ,28,0)</f>
        <v>Gladiš Pavel</v>
      </c>
      <c r="C463" s="10"/>
      <c r="D463" s="11" t="s">
        <v>1356</v>
      </c>
      <c r="E463" s="12">
        <f>VLOOKUP(J463,data!C:D,2,0)</f>
        <v>58</v>
      </c>
      <c r="F463" s="266"/>
      <c r="G463" s="2"/>
      <c r="H463" s="2"/>
      <c r="I463" s="2"/>
      <c r="J463" s="216">
        <v>140</v>
      </c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s="228" customFormat="1" ht="4.5" customHeight="1">
      <c r="A464" s="2"/>
      <c r="B464" s="14"/>
      <c r="C464" s="2"/>
      <c r="D464" s="2"/>
      <c r="E464" s="2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s="228" customFormat="1" ht="12.75">
      <c r="A465" s="3" t="s">
        <v>1353</v>
      </c>
      <c r="B465" s="20" t="str">
        <f>VLOOKUP(J466,data!C:AQ,16,0)</f>
        <v>Atos</v>
      </c>
      <c r="C465" s="5"/>
      <c r="D465" s="6" t="s">
        <v>1354</v>
      </c>
      <c r="E465" s="7" t="str">
        <f>VLOOKUP(J466,data!C:AQ,17,0)</f>
        <v>Can-Do Spirit</v>
      </c>
      <c r="F465" s="265" t="s">
        <v>359</v>
      </c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s="228" customFormat="1">
      <c r="A466" s="16" t="s">
        <v>1355</v>
      </c>
      <c r="B466" s="9" t="str">
        <f>VLOOKUP(J466,data!C:AQ,28,0)</f>
        <v>Půža Jiří</v>
      </c>
      <c r="C466" s="10"/>
      <c r="D466" s="11" t="s">
        <v>1356</v>
      </c>
      <c r="E466" s="12">
        <f>VLOOKUP(J466,data!C:D,2,0)</f>
        <v>59</v>
      </c>
      <c r="F466" s="266"/>
      <c r="G466" s="2"/>
      <c r="H466" s="2"/>
      <c r="I466" s="2"/>
      <c r="J466" s="216">
        <v>141</v>
      </c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s="221" customFormat="1" ht="24.75" customHeight="1">
      <c r="A467" s="222"/>
      <c r="B467" s="223"/>
      <c r="C467" s="224"/>
      <c r="D467" s="225"/>
      <c r="E467" s="226"/>
      <c r="F467" s="227"/>
      <c r="G467" s="2"/>
      <c r="H467" s="2"/>
      <c r="I467" s="2"/>
      <c r="J467" s="216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3.25">
      <c r="A468" s="271" t="s">
        <v>1372</v>
      </c>
      <c r="B468" s="270"/>
      <c r="C468" s="270"/>
      <c r="D468" s="270"/>
      <c r="E468" s="2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3" t="s">
        <v>1353</v>
      </c>
      <c r="B469" s="4" t="str">
        <f>VLOOKUP(J470,data!C:AQ,16,0)</f>
        <v>Benny</v>
      </c>
      <c r="C469" s="5"/>
      <c r="D469" s="6" t="s">
        <v>1354</v>
      </c>
      <c r="E469" s="7" t="str">
        <f>VLOOKUP(J470,data!C:AQ,17,0)</f>
        <v>Danlo Bohemia</v>
      </c>
      <c r="F469" s="265" t="s">
        <v>1727</v>
      </c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16" t="s">
        <v>1355</v>
      </c>
      <c r="B470" s="9" t="str">
        <f>VLOOKUP(J470,data!C:AQ,28,0)</f>
        <v>Počepická Kateřina</v>
      </c>
      <c r="C470" s="10"/>
      <c r="D470" s="11" t="s">
        <v>1356</v>
      </c>
      <c r="E470" s="12">
        <f>VLOOKUP(J470,data!C:D,2,0)</f>
        <v>66</v>
      </c>
      <c r="F470" s="266"/>
      <c r="G470" s="2"/>
      <c r="H470" s="2"/>
      <c r="I470" s="2"/>
      <c r="J470" s="13">
        <v>148</v>
      </c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3.25">
      <c r="A471" s="271" t="s">
        <v>1373</v>
      </c>
      <c r="B471" s="270"/>
      <c r="C471" s="270"/>
      <c r="D471" s="270"/>
      <c r="E471" s="2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s="237" customFormat="1" ht="20.25">
      <c r="A472" s="240"/>
      <c r="B472" s="241"/>
      <c r="C472" s="242"/>
      <c r="D472" s="243"/>
      <c r="E472" s="244"/>
      <c r="F472" s="234"/>
      <c r="G472" s="235"/>
      <c r="H472" s="235"/>
      <c r="I472" s="235"/>
      <c r="J472" s="236"/>
      <c r="K472" s="235"/>
      <c r="L472" s="235"/>
      <c r="M472" s="235"/>
      <c r="N472" s="235"/>
      <c r="O472" s="235"/>
      <c r="P472" s="235"/>
      <c r="Q472" s="235"/>
      <c r="R472" s="235"/>
      <c r="S472" s="235"/>
      <c r="T472" s="235"/>
      <c r="U472" s="235"/>
      <c r="V472" s="235"/>
      <c r="W472" s="235"/>
      <c r="X472" s="235"/>
      <c r="Y472" s="235"/>
      <c r="Z472" s="235"/>
    </row>
    <row r="473" spans="1:26" s="228" customFormat="1" ht="12.75">
      <c r="A473" s="3" t="s">
        <v>1353</v>
      </c>
      <c r="B473" s="20" t="str">
        <f>VLOOKUP(J474,data!C:AQ,16,0)</f>
        <v>Cloe</v>
      </c>
      <c r="C473" s="5"/>
      <c r="D473" s="6" t="s">
        <v>1354</v>
      </c>
      <c r="E473" s="7" t="str">
        <f>VLOOKUP(J474,data!C:AQ,17,0)</f>
        <v>Dlhá Roveň</v>
      </c>
      <c r="F473" s="265" t="s">
        <v>1727</v>
      </c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s="228" customFormat="1">
      <c r="A474" s="16" t="s">
        <v>1355</v>
      </c>
      <c r="B474" s="9" t="str">
        <f>VLOOKUP(J474,data!C:AQ,28,0)</f>
        <v>Majsniar Albín</v>
      </c>
      <c r="C474" s="10"/>
      <c r="D474" s="11" t="s">
        <v>1356</v>
      </c>
      <c r="E474" s="17">
        <f>VLOOKUP(J474,data!C:D,2,0)</f>
        <v>89</v>
      </c>
      <c r="F474" s="266"/>
      <c r="G474" s="2"/>
      <c r="H474" s="2"/>
      <c r="I474" s="2"/>
      <c r="J474" s="216">
        <v>155</v>
      </c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s="237" customFormat="1" ht="4.5" customHeight="1">
      <c r="A475" s="240"/>
      <c r="B475" s="241"/>
      <c r="C475" s="242"/>
      <c r="D475" s="243"/>
      <c r="E475" s="244"/>
      <c r="F475" s="234"/>
      <c r="G475" s="235"/>
      <c r="H475" s="235"/>
      <c r="I475" s="235"/>
      <c r="J475" s="236"/>
      <c r="K475" s="235"/>
      <c r="L475" s="235"/>
      <c r="M475" s="235"/>
      <c r="N475" s="235"/>
      <c r="O475" s="235"/>
      <c r="P475" s="235"/>
      <c r="Q475" s="235"/>
      <c r="R475" s="235"/>
      <c r="S475" s="235"/>
      <c r="T475" s="235"/>
      <c r="U475" s="235"/>
      <c r="V475" s="235"/>
      <c r="W475" s="235"/>
      <c r="X475" s="235"/>
      <c r="Y475" s="235"/>
      <c r="Z475" s="235"/>
    </row>
    <row r="476" spans="1:26" s="228" customFormat="1" ht="12.75">
      <c r="A476" s="3" t="s">
        <v>1353</v>
      </c>
      <c r="B476" s="20" t="str">
        <f>VLOOKUP(J477,data!C:AQ,16,0)</f>
        <v>Enigma</v>
      </c>
      <c r="C476" s="5"/>
      <c r="D476" s="6" t="s">
        <v>1354</v>
      </c>
      <c r="E476" s="7" t="str">
        <f>VLOOKUP(J477,data!C:AQ,17,0)</f>
        <v>Jihland</v>
      </c>
      <c r="F476" s="265" t="s">
        <v>1726</v>
      </c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s="228" customFormat="1">
      <c r="A477" s="16" t="s">
        <v>1355</v>
      </c>
      <c r="B477" s="9" t="str">
        <f>VLOOKUP(J477,data!C:AQ,28,0)</f>
        <v>Rychetský Tomáš</v>
      </c>
      <c r="C477" s="10"/>
      <c r="D477" s="11" t="s">
        <v>1356</v>
      </c>
      <c r="E477" s="17">
        <f>VLOOKUP(J477,data!C:D,2,0)</f>
        <v>90</v>
      </c>
      <c r="F477" s="266"/>
      <c r="G477" s="2"/>
      <c r="H477" s="2"/>
      <c r="I477" s="2"/>
      <c r="J477" s="216">
        <v>156</v>
      </c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s="237" customFormat="1" ht="4.5" customHeight="1">
      <c r="A478" s="240"/>
      <c r="B478" s="241"/>
      <c r="C478" s="242"/>
      <c r="D478" s="243"/>
      <c r="E478" s="244"/>
      <c r="F478" s="234"/>
      <c r="G478" s="235"/>
      <c r="H478" s="235"/>
      <c r="I478" s="235"/>
      <c r="J478" s="236"/>
      <c r="K478" s="235"/>
      <c r="L478" s="235"/>
      <c r="M478" s="235"/>
      <c r="N478" s="235"/>
      <c r="O478" s="235"/>
      <c r="P478" s="235"/>
      <c r="Q478" s="235"/>
      <c r="R478" s="235"/>
      <c r="S478" s="235"/>
      <c r="T478" s="235"/>
      <c r="U478" s="235"/>
      <c r="V478" s="235"/>
      <c r="W478" s="235"/>
      <c r="X478" s="235"/>
      <c r="Y478" s="235"/>
      <c r="Z478" s="235"/>
    </row>
    <row r="479" spans="1:26" s="228" customFormat="1" ht="12.75">
      <c r="A479" s="3" t="s">
        <v>1353</v>
      </c>
      <c r="B479" s="20" t="str">
        <f>VLOOKUP(J480,data!C:AQ,16,0)</f>
        <v>Aura</v>
      </c>
      <c r="C479" s="5"/>
      <c r="D479" s="6" t="s">
        <v>1354</v>
      </c>
      <c r="E479" s="7" t="str">
        <f>VLOOKUP(J480,data!C:AQ,17,0)</f>
        <v>Geodis</v>
      </c>
      <c r="F479" s="265" t="s">
        <v>1731</v>
      </c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s="228" customFormat="1">
      <c r="A480" s="16" t="s">
        <v>1355</v>
      </c>
      <c r="B480" s="9" t="str">
        <f>VLOOKUP(J480,data!C:AQ,28,0)</f>
        <v>Gladiš Pavel</v>
      </c>
      <c r="C480" s="10"/>
      <c r="D480" s="11" t="s">
        <v>1356</v>
      </c>
      <c r="E480" s="17">
        <f>VLOOKUP(J480,data!C:D,2,0)</f>
        <v>84</v>
      </c>
      <c r="F480" s="266"/>
      <c r="G480" s="2"/>
      <c r="H480" s="2"/>
      <c r="I480" s="2"/>
      <c r="J480" s="216">
        <v>150</v>
      </c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s="237" customFormat="1" ht="4.5" customHeight="1">
      <c r="A481" s="240"/>
      <c r="B481" s="241"/>
      <c r="C481" s="242"/>
      <c r="D481" s="243"/>
      <c r="E481" s="244"/>
      <c r="F481" s="234"/>
      <c r="G481" s="235"/>
      <c r="H481" s="235"/>
      <c r="I481" s="235"/>
      <c r="J481" s="236"/>
      <c r="K481" s="235"/>
      <c r="L481" s="235"/>
      <c r="M481" s="235"/>
      <c r="N481" s="235"/>
      <c r="O481" s="235"/>
      <c r="P481" s="235"/>
      <c r="Q481" s="235"/>
      <c r="R481" s="235"/>
      <c r="S481" s="235"/>
      <c r="T481" s="235"/>
      <c r="U481" s="235"/>
      <c r="V481" s="235"/>
      <c r="W481" s="235"/>
      <c r="X481" s="235"/>
      <c r="Y481" s="235"/>
      <c r="Z481" s="235"/>
    </row>
    <row r="482" spans="1:26" s="228" customFormat="1" ht="12.75">
      <c r="A482" s="3" t="s">
        <v>1353</v>
      </c>
      <c r="B482" s="20" t="str">
        <f>VLOOKUP(J483,data!C:AQ,16,0)</f>
        <v>Grant´s</v>
      </c>
      <c r="C482" s="5"/>
      <c r="D482" s="6" t="s">
        <v>1354</v>
      </c>
      <c r="E482" s="7" t="str">
        <f>VLOOKUP(J483,data!C:AQ,17,0)</f>
        <v>Best  of the Gods</v>
      </c>
      <c r="F482" s="265" t="s">
        <v>1734</v>
      </c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s="228" customFormat="1">
      <c r="A483" s="16" t="s">
        <v>1355</v>
      </c>
      <c r="B483" s="9" t="str">
        <f>VLOOKUP(J483,data!C:AQ,28,0)</f>
        <v>Konvalinková Veronika</v>
      </c>
      <c r="C483" s="10"/>
      <c r="D483" s="11" t="s">
        <v>1356</v>
      </c>
      <c r="E483" s="17">
        <f>VLOOKUP(J483,data!C:D,2,0)</f>
        <v>91</v>
      </c>
      <c r="F483" s="266"/>
      <c r="G483" s="2"/>
      <c r="H483" s="2"/>
      <c r="I483" s="2"/>
      <c r="J483" s="216">
        <v>157</v>
      </c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s="237" customFormat="1" ht="4.5" customHeight="1">
      <c r="A484" s="240"/>
      <c r="B484" s="241"/>
      <c r="C484" s="242"/>
      <c r="D484" s="243"/>
      <c r="E484" s="244"/>
      <c r="F484" s="234"/>
      <c r="G484" s="235"/>
      <c r="H484" s="235"/>
      <c r="I484" s="235"/>
      <c r="J484" s="236"/>
      <c r="K484" s="235"/>
      <c r="L484" s="235"/>
      <c r="M484" s="235"/>
      <c r="N484" s="235"/>
      <c r="O484" s="235"/>
      <c r="P484" s="235"/>
      <c r="Q484" s="235"/>
      <c r="R484" s="235"/>
      <c r="S484" s="235"/>
      <c r="T484" s="235"/>
      <c r="U484" s="235"/>
      <c r="V484" s="235"/>
      <c r="W484" s="235"/>
      <c r="X484" s="235"/>
      <c r="Y484" s="235"/>
      <c r="Z484" s="235"/>
    </row>
    <row r="485" spans="1:26" s="228" customFormat="1" ht="12.75">
      <c r="A485" s="3" t="s">
        <v>1353</v>
      </c>
      <c r="B485" s="20" t="str">
        <f>VLOOKUP(J486,data!C:AQ,16,0)</f>
        <v>Lakyša</v>
      </c>
      <c r="C485" s="5"/>
      <c r="D485" s="6" t="s">
        <v>1354</v>
      </c>
      <c r="E485" s="7" t="str">
        <f>VLOOKUP(J486,data!C:AQ,17,0)</f>
        <v>Cetrio</v>
      </c>
      <c r="F485" s="265" t="s">
        <v>1733</v>
      </c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s="228" customFormat="1">
      <c r="A486" s="16" t="s">
        <v>1355</v>
      </c>
      <c r="B486" s="9" t="str">
        <f>VLOOKUP(J486,data!C:AQ,28,0)</f>
        <v>Černovský Miloslav</v>
      </c>
      <c r="C486" s="10"/>
      <c r="D486" s="11" t="s">
        <v>1356</v>
      </c>
      <c r="E486" s="17">
        <f>VLOOKUP(J486,data!C:D,2,0)</f>
        <v>94</v>
      </c>
      <c r="F486" s="266"/>
      <c r="G486" s="2"/>
      <c r="H486" s="2"/>
      <c r="I486" s="2"/>
      <c r="J486" s="216">
        <v>160</v>
      </c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s="237" customFormat="1" ht="4.5" customHeight="1">
      <c r="A487" s="240"/>
      <c r="B487" s="241"/>
      <c r="C487" s="242"/>
      <c r="D487" s="243"/>
      <c r="E487" s="244"/>
      <c r="F487" s="234"/>
      <c r="G487" s="235"/>
      <c r="H487" s="235"/>
      <c r="I487" s="235"/>
      <c r="J487" s="236"/>
      <c r="K487" s="235"/>
      <c r="L487" s="235"/>
      <c r="M487" s="235"/>
      <c r="N487" s="235"/>
      <c r="O487" s="235"/>
      <c r="P487" s="235"/>
      <c r="Q487" s="235"/>
      <c r="R487" s="235"/>
      <c r="S487" s="235"/>
      <c r="T487" s="235"/>
      <c r="U487" s="235"/>
      <c r="V487" s="235"/>
      <c r="W487" s="235"/>
      <c r="X487" s="235"/>
      <c r="Y487" s="235"/>
      <c r="Z487" s="235"/>
    </row>
    <row r="488" spans="1:26" s="228" customFormat="1" ht="12.75">
      <c r="A488" s="3" t="s">
        <v>1353</v>
      </c>
      <c r="B488" s="20" t="str">
        <f>VLOOKUP(J489,data!C:AQ,16,0)</f>
        <v>Bibi</v>
      </c>
      <c r="C488" s="5"/>
      <c r="D488" s="6" t="s">
        <v>1354</v>
      </c>
      <c r="E488" s="7" t="str">
        <f>VLOOKUP(J489,data!C:AQ,17,0)</f>
        <v>Z Podradbuzí</v>
      </c>
      <c r="F488" s="265" t="s">
        <v>1730</v>
      </c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s="228" customFormat="1">
      <c r="A489" s="16" t="s">
        <v>1355</v>
      </c>
      <c r="B489" s="9" t="str">
        <f>VLOOKUP(J489,data!C:AQ,28,0)</f>
        <v>Gill Václav</v>
      </c>
      <c r="C489" s="10"/>
      <c r="D489" s="11" t="s">
        <v>1356</v>
      </c>
      <c r="E489" s="17">
        <f>VLOOKUP(J489,data!C:D,2,0)</f>
        <v>85</v>
      </c>
      <c r="F489" s="266"/>
      <c r="G489" s="2"/>
      <c r="H489" s="2"/>
      <c r="I489" s="2"/>
      <c r="J489" s="216">
        <v>151</v>
      </c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s="237" customFormat="1" ht="4.5" customHeight="1">
      <c r="A490" s="240"/>
      <c r="B490" s="241"/>
      <c r="C490" s="242"/>
      <c r="D490" s="243"/>
      <c r="E490" s="244"/>
      <c r="F490" s="234"/>
      <c r="G490" s="235"/>
      <c r="H490" s="235"/>
      <c r="I490" s="235"/>
      <c r="J490" s="236"/>
      <c r="K490" s="235"/>
      <c r="L490" s="235"/>
      <c r="M490" s="235"/>
      <c r="N490" s="235"/>
      <c r="O490" s="235"/>
      <c r="P490" s="235"/>
      <c r="Q490" s="235"/>
      <c r="R490" s="235"/>
      <c r="S490" s="235"/>
      <c r="T490" s="235"/>
      <c r="U490" s="235"/>
      <c r="V490" s="235"/>
      <c r="W490" s="235"/>
      <c r="X490" s="235"/>
      <c r="Y490" s="235"/>
      <c r="Z490" s="235"/>
    </row>
    <row r="491" spans="1:26" s="228" customFormat="1" ht="12.75">
      <c r="A491" s="3" t="s">
        <v>1353</v>
      </c>
      <c r="B491" s="20" t="str">
        <f>VLOOKUP(J492,data!C:AQ,16,0)</f>
        <v>Hippa</v>
      </c>
      <c r="C491" s="5"/>
      <c r="D491" s="6" t="s">
        <v>1354</v>
      </c>
      <c r="E491" s="7" t="str">
        <f>VLOOKUP(J492,data!C:AQ,17,0)</f>
        <v>King Regent</v>
      </c>
      <c r="F491" s="265" t="s">
        <v>1738</v>
      </c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s="228" customFormat="1">
      <c r="A492" s="16" t="s">
        <v>1355</v>
      </c>
      <c r="B492" s="9" t="str">
        <f>VLOOKUP(J492,data!C:AQ,28,0)</f>
        <v>Kopecká Lucie</v>
      </c>
      <c r="C492" s="10"/>
      <c r="D492" s="11" t="s">
        <v>1356</v>
      </c>
      <c r="E492" s="17">
        <f>VLOOKUP(J492,data!C:D,2,0)</f>
        <v>92</v>
      </c>
      <c r="F492" s="266"/>
      <c r="G492" s="2"/>
      <c r="H492" s="2"/>
      <c r="I492" s="2"/>
      <c r="J492" s="216">
        <v>158</v>
      </c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s="237" customFormat="1" ht="4.5" customHeight="1">
      <c r="A493" s="240"/>
      <c r="B493" s="241"/>
      <c r="C493" s="242"/>
      <c r="D493" s="243"/>
      <c r="E493" s="244"/>
      <c r="F493" s="234"/>
      <c r="G493" s="235"/>
      <c r="H493" s="235"/>
      <c r="I493" s="235"/>
      <c r="J493" s="236"/>
      <c r="K493" s="235"/>
      <c r="L493" s="235"/>
      <c r="M493" s="235"/>
      <c r="N493" s="235"/>
      <c r="O493" s="235"/>
      <c r="P493" s="235"/>
      <c r="Q493" s="235"/>
      <c r="R493" s="235"/>
      <c r="S493" s="235"/>
      <c r="T493" s="235"/>
      <c r="U493" s="235"/>
      <c r="V493" s="235"/>
      <c r="W493" s="235"/>
      <c r="X493" s="235"/>
      <c r="Y493" s="235"/>
      <c r="Z493" s="235"/>
    </row>
    <row r="494" spans="1:26" s="228" customFormat="1" ht="12.75">
      <c r="A494" s="3" t="s">
        <v>1353</v>
      </c>
      <c r="B494" s="20" t="str">
        <f>VLOOKUP(J495,data!C:AQ,16,0)</f>
        <v>Cherry</v>
      </c>
      <c r="C494" s="5"/>
      <c r="D494" s="6" t="s">
        <v>1354</v>
      </c>
      <c r="E494" s="7" t="str">
        <f>VLOOKUP(J495,data!C:AQ,17,0)</f>
        <v>Provocativo</v>
      </c>
      <c r="F494" s="265" t="s">
        <v>1728</v>
      </c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s="228" customFormat="1">
      <c r="A495" s="16" t="s">
        <v>1355</v>
      </c>
      <c r="B495" s="9" t="str">
        <f>VLOOKUP(J495,data!C:AQ,28,0)</f>
        <v>Zahradníková Barbora</v>
      </c>
      <c r="C495" s="10"/>
      <c r="D495" s="11" t="s">
        <v>1356</v>
      </c>
      <c r="E495" s="17">
        <f>VLOOKUP(J495,data!C:D,2,0)</f>
        <v>88</v>
      </c>
      <c r="F495" s="266"/>
      <c r="G495" s="2"/>
      <c r="H495" s="2"/>
      <c r="I495" s="2"/>
      <c r="J495" s="216">
        <v>154</v>
      </c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s="237" customFormat="1" ht="4.5" customHeight="1">
      <c r="A496" s="240"/>
      <c r="B496" s="241"/>
      <c r="C496" s="242"/>
      <c r="D496" s="243"/>
      <c r="E496" s="244"/>
      <c r="F496" s="234"/>
      <c r="G496" s="235"/>
      <c r="H496" s="235"/>
      <c r="I496" s="235"/>
      <c r="J496" s="236"/>
      <c r="K496" s="235"/>
      <c r="L496" s="235"/>
      <c r="M496" s="235"/>
      <c r="N496" s="235"/>
      <c r="O496" s="235"/>
      <c r="P496" s="235"/>
      <c r="Q496" s="235"/>
      <c r="R496" s="235"/>
      <c r="S496" s="235"/>
      <c r="T496" s="235"/>
      <c r="U496" s="235"/>
      <c r="V496" s="235"/>
      <c r="W496" s="235"/>
      <c r="X496" s="235"/>
      <c r="Y496" s="235"/>
      <c r="Z496" s="235"/>
    </row>
    <row r="497" spans="1:26" s="228" customFormat="1" ht="12.75">
      <c r="A497" s="3" t="s">
        <v>1353</v>
      </c>
      <c r="B497" s="20" t="str">
        <f>VLOOKUP(J498,data!C:AQ,16,0)</f>
        <v>Carmen</v>
      </c>
      <c r="C497" s="5"/>
      <c r="D497" s="6" t="s">
        <v>1354</v>
      </c>
      <c r="E497" s="7" t="str">
        <f>VLOOKUP(J498,data!C:AQ,17,0)</f>
        <v>v. Türkenkopf</v>
      </c>
      <c r="F497" s="265" t="s">
        <v>1729</v>
      </c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s="228" customFormat="1">
      <c r="A498" s="16" t="s">
        <v>1355</v>
      </c>
      <c r="B498" s="9" t="str">
        <f>VLOOKUP(J498,data!C:AQ,28,0)</f>
        <v>Zahradníková Barbora</v>
      </c>
      <c r="C498" s="10"/>
      <c r="D498" s="11" t="s">
        <v>1356</v>
      </c>
      <c r="E498" s="17">
        <f>VLOOKUP(J498,data!C:D,2,0)</f>
        <v>86</v>
      </c>
      <c r="F498" s="266"/>
      <c r="G498" s="2"/>
      <c r="H498" s="2"/>
      <c r="I498" s="2"/>
      <c r="J498" s="216">
        <v>152</v>
      </c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s="237" customFormat="1" ht="4.5" customHeight="1">
      <c r="A499" s="240"/>
      <c r="B499" s="241"/>
      <c r="C499" s="242"/>
      <c r="D499" s="243"/>
      <c r="E499" s="244"/>
      <c r="F499" s="234"/>
      <c r="G499" s="235"/>
      <c r="H499" s="235"/>
      <c r="I499" s="235"/>
      <c r="J499" s="236"/>
      <c r="K499" s="235"/>
      <c r="L499" s="235"/>
      <c r="M499" s="235"/>
      <c r="N499" s="235"/>
      <c r="O499" s="235"/>
      <c r="P499" s="235"/>
      <c r="Q499" s="235"/>
      <c r="R499" s="235"/>
      <c r="S499" s="235"/>
      <c r="T499" s="235"/>
      <c r="U499" s="235"/>
      <c r="V499" s="235"/>
      <c r="W499" s="235"/>
      <c r="X499" s="235"/>
      <c r="Y499" s="235"/>
      <c r="Z499" s="235"/>
    </row>
    <row r="500" spans="1:26" s="228" customFormat="1" ht="12.75">
      <c r="A500" s="3" t="s">
        <v>1353</v>
      </c>
      <c r="B500" s="20" t="str">
        <f>VLOOKUP(J501,data!C:AQ,16,0)</f>
        <v xml:space="preserve">Xendy </v>
      </c>
      <c r="C500" s="5"/>
      <c r="D500" s="6" t="s">
        <v>1354</v>
      </c>
      <c r="E500" s="7" t="str">
        <f>VLOOKUP(J501,data!C:AQ,17,0)</f>
        <v>Mir-Jar</v>
      </c>
      <c r="F500" s="265" t="s">
        <v>1735</v>
      </c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s="228" customFormat="1">
      <c r="A501" s="16" t="s">
        <v>1355</v>
      </c>
      <c r="B501" s="9" t="str">
        <f>VLOOKUP(J501,data!C:AQ,28,0)</f>
        <v>Bačáková Iveta</v>
      </c>
      <c r="C501" s="10"/>
      <c r="D501" s="11" t="s">
        <v>1356</v>
      </c>
      <c r="E501" s="17">
        <f>VLOOKUP(J501,data!C:D,2,0)</f>
        <v>97</v>
      </c>
      <c r="F501" s="266"/>
      <c r="G501" s="2"/>
      <c r="H501" s="2"/>
      <c r="I501" s="2"/>
      <c r="J501" s="216">
        <v>163</v>
      </c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s="237" customFormat="1" ht="4.5" customHeight="1">
      <c r="A502" s="240"/>
      <c r="B502" s="241"/>
      <c r="C502" s="242"/>
      <c r="D502" s="243"/>
      <c r="E502" s="244"/>
      <c r="F502" s="234"/>
      <c r="G502" s="235"/>
      <c r="H502" s="235"/>
      <c r="I502" s="235"/>
      <c r="J502" s="236"/>
      <c r="K502" s="235"/>
      <c r="L502" s="235"/>
      <c r="M502" s="235"/>
      <c r="N502" s="235"/>
      <c r="O502" s="235"/>
      <c r="P502" s="235"/>
      <c r="Q502" s="235"/>
      <c r="R502" s="235"/>
      <c r="S502" s="235"/>
      <c r="T502" s="235"/>
      <c r="U502" s="235"/>
      <c r="V502" s="235"/>
      <c r="W502" s="235"/>
      <c r="X502" s="235"/>
      <c r="Y502" s="235"/>
      <c r="Z502" s="235"/>
    </row>
    <row r="503" spans="1:26" s="228" customFormat="1" ht="12.75">
      <c r="A503" s="3" t="s">
        <v>1353</v>
      </c>
      <c r="B503" s="20" t="str">
        <f>VLOOKUP(J504,data!C:AQ,16,0)</f>
        <v>Nikol</v>
      </c>
      <c r="C503" s="5"/>
      <c r="D503" s="6" t="s">
        <v>1354</v>
      </c>
      <c r="E503" s="7" t="str">
        <f>VLOOKUP(J504,data!C:AQ,17,0)</f>
        <v>Antonika</v>
      </c>
      <c r="F503" s="265" t="s">
        <v>1737</v>
      </c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s="228" customFormat="1">
      <c r="A504" s="16" t="s">
        <v>1355</v>
      </c>
      <c r="B504" s="9" t="str">
        <f>VLOOKUP(J504,data!C:AQ,28,0)</f>
        <v>Plšková M., RNDr.</v>
      </c>
      <c r="C504" s="10"/>
      <c r="D504" s="11" t="s">
        <v>1356</v>
      </c>
      <c r="E504" s="17">
        <f>VLOOKUP(J504,data!C:D,2,0)</f>
        <v>95</v>
      </c>
      <c r="F504" s="266"/>
      <c r="G504" s="2"/>
      <c r="H504" s="2"/>
      <c r="I504" s="2"/>
      <c r="J504" s="216">
        <v>161</v>
      </c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s="228" customFormat="1" ht="4.5" customHeight="1">
      <c r="A505" s="2"/>
      <c r="B505" s="14"/>
      <c r="C505" s="2"/>
      <c r="D505" s="2"/>
      <c r="E505" s="21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s="228" customFormat="1" ht="12.75">
      <c r="A506" s="3" t="s">
        <v>1353</v>
      </c>
      <c r="B506" s="20" t="s">
        <v>1374</v>
      </c>
      <c r="C506" s="5"/>
      <c r="D506" s="6" t="s">
        <v>1354</v>
      </c>
      <c r="E506" s="7" t="str">
        <f>VLOOKUP(J507,data!C:AQ,17,0)</f>
        <v>Buranos Lobos</v>
      </c>
      <c r="F506" s="265" t="s">
        <v>1736</v>
      </c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s="228" customFormat="1">
      <c r="A507" s="16" t="s">
        <v>1355</v>
      </c>
      <c r="B507" s="9" t="str">
        <f>VLOOKUP(J507,data!C:AQ,28,0)</f>
        <v>Sýkorová Eva</v>
      </c>
      <c r="C507" s="10"/>
      <c r="D507" s="11" t="s">
        <v>1356</v>
      </c>
      <c r="E507" s="17">
        <f>VLOOKUP(J507,data!C:D,2,0)</f>
        <v>96</v>
      </c>
      <c r="F507" s="266"/>
      <c r="G507" s="2"/>
      <c r="H507" s="2"/>
      <c r="I507" s="2"/>
      <c r="J507" s="216">
        <v>162</v>
      </c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s="237" customFormat="1" ht="4.5" customHeight="1">
      <c r="A508" s="240"/>
      <c r="B508" s="241"/>
      <c r="C508" s="242"/>
      <c r="D508" s="243"/>
      <c r="E508" s="244"/>
      <c r="F508" s="234"/>
      <c r="G508" s="235"/>
      <c r="H508" s="235"/>
      <c r="I508" s="235"/>
      <c r="J508" s="236"/>
      <c r="K508" s="235"/>
      <c r="L508" s="235"/>
      <c r="M508" s="235"/>
      <c r="N508" s="235"/>
      <c r="O508" s="235"/>
      <c r="P508" s="235"/>
      <c r="Q508" s="235"/>
      <c r="R508" s="235"/>
      <c r="S508" s="235"/>
      <c r="T508" s="235"/>
      <c r="U508" s="235"/>
      <c r="V508" s="235"/>
      <c r="W508" s="235"/>
      <c r="X508" s="235"/>
      <c r="Y508" s="235"/>
      <c r="Z508" s="235"/>
    </row>
    <row r="509" spans="1:26" s="228" customFormat="1" ht="12.75">
      <c r="A509" s="3" t="s">
        <v>1353</v>
      </c>
      <c r="B509" s="20" t="str">
        <f>VLOOKUP(J510,data!C:AQ,16,0)</f>
        <v>Aen</v>
      </c>
      <c r="C509" s="5"/>
      <c r="D509" s="6" t="s">
        <v>1354</v>
      </c>
      <c r="E509" s="7" t="str">
        <f>VLOOKUP(J510,data!C:AQ,17,0)</f>
        <v>Can-Do Spirit</v>
      </c>
      <c r="F509" s="265" t="s">
        <v>359</v>
      </c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s="228" customFormat="1">
      <c r="A510" s="16" t="s">
        <v>1355</v>
      </c>
      <c r="B510" s="9" t="str">
        <f>VLOOKUP(J510,data!C:AQ,28,0)</f>
        <v>Půža Jiří</v>
      </c>
      <c r="C510" s="10"/>
      <c r="D510" s="11" t="s">
        <v>1356</v>
      </c>
      <c r="E510" s="17">
        <f>VLOOKUP(J510,data!C:D,2,0)</f>
        <v>83</v>
      </c>
      <c r="F510" s="266"/>
      <c r="G510" s="2"/>
      <c r="H510" s="2"/>
      <c r="I510" s="2"/>
      <c r="J510" s="216">
        <v>149</v>
      </c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s="237" customFormat="1" ht="4.5" customHeight="1">
      <c r="A511" s="240"/>
      <c r="B511" s="241"/>
      <c r="C511" s="242"/>
      <c r="D511" s="243"/>
      <c r="E511" s="244"/>
      <c r="F511" s="234"/>
      <c r="G511" s="235"/>
      <c r="H511" s="235"/>
      <c r="I511" s="235"/>
      <c r="J511" s="236"/>
      <c r="K511" s="235"/>
      <c r="L511" s="235"/>
      <c r="M511" s="235"/>
      <c r="N511" s="235"/>
      <c r="O511" s="235"/>
      <c r="P511" s="235"/>
      <c r="Q511" s="235"/>
      <c r="R511" s="235"/>
      <c r="S511" s="235"/>
      <c r="T511" s="235"/>
      <c r="U511" s="235"/>
      <c r="V511" s="235"/>
      <c r="W511" s="235"/>
      <c r="X511" s="235"/>
      <c r="Y511" s="235"/>
      <c r="Z511" s="235"/>
    </row>
    <row r="512" spans="1:26" s="228" customFormat="1" ht="12.75">
      <c r="A512" s="3" t="s">
        <v>1353</v>
      </c>
      <c r="B512" s="20" t="str">
        <f>VLOOKUP(J513,data!C:AQ,16,0)</f>
        <v>Cecilka</v>
      </c>
      <c r="C512" s="5"/>
      <c r="D512" s="6" t="s">
        <v>1354</v>
      </c>
      <c r="E512" s="7" t="str">
        <f>VLOOKUP(J513,data!C:AQ,17,0)</f>
        <v xml:space="preserve">Fabare Bohemia </v>
      </c>
      <c r="F512" s="265" t="s">
        <v>359</v>
      </c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s="228" customFormat="1">
      <c r="A513" s="16" t="s">
        <v>1355</v>
      </c>
      <c r="B513" s="9" t="str">
        <f>VLOOKUP(J513,data!C:AQ,28,0)</f>
        <v>Skrbek Pavel</v>
      </c>
      <c r="C513" s="10"/>
      <c r="D513" s="11" t="s">
        <v>1356</v>
      </c>
      <c r="E513" s="17">
        <f>VLOOKUP(J513,data!C:D,2,0)</f>
        <v>87</v>
      </c>
      <c r="F513" s="266"/>
      <c r="G513" s="2"/>
      <c r="H513" s="2"/>
      <c r="I513" s="2"/>
      <c r="J513" s="216">
        <v>153</v>
      </c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s="237" customFormat="1" ht="4.5" customHeight="1">
      <c r="A514" s="240"/>
      <c r="B514" s="241"/>
      <c r="C514" s="242"/>
      <c r="D514" s="243"/>
      <c r="E514" s="244"/>
      <c r="F514" s="234"/>
      <c r="G514" s="235"/>
      <c r="H514" s="235"/>
      <c r="I514" s="235"/>
      <c r="J514" s="236"/>
      <c r="K514" s="235"/>
      <c r="L514" s="235"/>
      <c r="M514" s="235"/>
      <c r="N514" s="235"/>
      <c r="O514" s="235"/>
      <c r="P514" s="235"/>
      <c r="Q514" s="235"/>
      <c r="R514" s="235"/>
      <c r="S514" s="235"/>
      <c r="T514" s="235"/>
      <c r="U514" s="235"/>
      <c r="V514" s="235"/>
      <c r="W514" s="235"/>
      <c r="X514" s="235"/>
      <c r="Y514" s="235"/>
      <c r="Z514" s="235"/>
    </row>
    <row r="515" spans="1:26" s="228" customFormat="1" ht="12.75">
      <c r="A515" s="3" t="s">
        <v>1353</v>
      </c>
      <c r="B515" s="20" t="str">
        <f>VLOOKUP(J516,data!C:AQ,16,0)</f>
        <v>Hispana</v>
      </c>
      <c r="C515" s="5"/>
      <c r="D515" s="6" t="s">
        <v>1354</v>
      </c>
      <c r="E515" s="7" t="str">
        <f>VLOOKUP(J516,data!C:AQ,17,0)</f>
        <v>Provocativo</v>
      </c>
      <c r="F515" s="265" t="s">
        <v>359</v>
      </c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s="228" customFormat="1">
      <c r="A516" s="16" t="s">
        <v>1355</v>
      </c>
      <c r="B516" s="9" t="str">
        <f>VLOOKUP(J516,data!C:AQ,28,0)</f>
        <v>Zahradníková Barbora</v>
      </c>
      <c r="C516" s="10"/>
      <c r="D516" s="11" t="s">
        <v>1356</v>
      </c>
      <c r="E516" s="17">
        <f>VLOOKUP(J516,data!C:D,2,0)</f>
        <v>93</v>
      </c>
      <c r="F516" s="266"/>
      <c r="G516" s="2"/>
      <c r="H516" s="2"/>
      <c r="I516" s="2"/>
      <c r="J516" s="216">
        <v>159</v>
      </c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s="228" customFormat="1" ht="4.5" customHeight="1">
      <c r="A517" s="240"/>
      <c r="B517" s="241"/>
      <c r="C517" s="242"/>
      <c r="D517" s="243"/>
      <c r="E517" s="244"/>
      <c r="F517" s="234"/>
      <c r="G517" s="2"/>
      <c r="H517" s="2"/>
      <c r="I517" s="2"/>
      <c r="J517" s="216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s="228" customFormat="1" ht="12.75">
      <c r="A518" s="3" t="s">
        <v>1353</v>
      </c>
      <c r="B518" s="20" t="str">
        <f>VLOOKUP(J519,data!C:AQ,16,0)</f>
        <v xml:space="preserve">Xenie </v>
      </c>
      <c r="C518" s="5"/>
      <c r="D518" s="6" t="s">
        <v>1354</v>
      </c>
      <c r="E518" s="7" t="str">
        <f>VLOOKUP(J519,data!C:AQ,17,0)</f>
        <v>Mir-Jar</v>
      </c>
      <c r="F518" s="265" t="s">
        <v>359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s="228" customFormat="1">
      <c r="A519" s="16" t="s">
        <v>1355</v>
      </c>
      <c r="B519" s="9" t="str">
        <f>VLOOKUP(J519,data!C:AQ,28,0)</f>
        <v>Kratochvílová Martina</v>
      </c>
      <c r="C519" s="10"/>
      <c r="D519" s="11" t="s">
        <v>1356</v>
      </c>
      <c r="E519" s="17">
        <f>VLOOKUP(J519,data!C:D,2,0)</f>
        <v>98</v>
      </c>
      <c r="F519" s="266"/>
      <c r="G519" s="2"/>
      <c r="H519" s="2"/>
      <c r="I519" s="2"/>
      <c r="J519" s="216">
        <v>164</v>
      </c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s="237" customFormat="1" ht="20.25">
      <c r="A520" s="240"/>
      <c r="B520" s="241"/>
      <c r="C520" s="242"/>
      <c r="D520" s="243"/>
      <c r="E520" s="244"/>
      <c r="F520" s="234"/>
      <c r="G520" s="235"/>
      <c r="H520" s="235"/>
      <c r="I520" s="235"/>
      <c r="J520" s="236"/>
      <c r="K520" s="235"/>
      <c r="L520" s="235"/>
      <c r="M520" s="235"/>
      <c r="N520" s="235"/>
      <c r="O520" s="235"/>
      <c r="P520" s="235"/>
      <c r="Q520" s="235"/>
      <c r="R520" s="235"/>
      <c r="S520" s="235"/>
      <c r="T520" s="235"/>
      <c r="U520" s="235"/>
      <c r="V520" s="235"/>
      <c r="W520" s="235"/>
      <c r="X520" s="235"/>
      <c r="Y520" s="235"/>
      <c r="Z520" s="235"/>
    </row>
    <row r="521" spans="1:26" s="228" customFormat="1" ht="23.25">
      <c r="A521" s="272" t="s">
        <v>1375</v>
      </c>
      <c r="B521" s="272"/>
      <c r="C521" s="272"/>
      <c r="D521" s="272"/>
      <c r="E521" s="27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3" t="s">
        <v>1353</v>
      </c>
      <c r="B522" s="4" t="str">
        <f>VLOOKUP(J523,data!C:AQ,16,0)</f>
        <v>Brixie</v>
      </c>
      <c r="C522" s="5"/>
      <c r="D522" s="6" t="s">
        <v>1354</v>
      </c>
      <c r="E522" s="7" t="str">
        <f>VLOOKUP(J523,data!C:AQ,17,0)</f>
        <v>Danlo Bohemia</v>
      </c>
      <c r="F522" s="261" t="s">
        <v>1727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16" t="s">
        <v>1355</v>
      </c>
      <c r="B523" s="9" t="str">
        <f>VLOOKUP(J523,data!C:AQ,28,0)</f>
        <v>Burianová Dagmar, Mgr.</v>
      </c>
      <c r="C523" s="10"/>
      <c r="D523" s="11" t="s">
        <v>1356</v>
      </c>
      <c r="E523" s="17">
        <f>VLOOKUP(J523,data!C:D,2,0)</f>
        <v>99</v>
      </c>
      <c r="F523" s="262"/>
      <c r="G523" s="2"/>
      <c r="H523" s="2"/>
      <c r="I523" s="2"/>
      <c r="J523" s="13">
        <v>165</v>
      </c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4.5" customHeight="1">
      <c r="A524" s="2"/>
      <c r="B524" s="14"/>
      <c r="C524" s="2"/>
      <c r="D524" s="2"/>
      <c r="E524" s="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3" t="s">
        <v>1353</v>
      </c>
      <c r="B525" s="4" t="str">
        <f>VLOOKUP(J526,data!C:AQ,16,0)</f>
        <v>Gyra</v>
      </c>
      <c r="C525" s="5"/>
      <c r="D525" s="6" t="s">
        <v>1354</v>
      </c>
      <c r="E525" s="7" t="str">
        <f>VLOOKUP(J526,data!C:AQ,17,0)</f>
        <v>Best  of the Gods</v>
      </c>
      <c r="F525" s="265" t="s">
        <v>1726</v>
      </c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16" t="s">
        <v>1355</v>
      </c>
      <c r="B526" s="9" t="str">
        <f>VLOOKUP(J526,data!C:AQ,28,0)</f>
        <v>Konvalinková Veronika</v>
      </c>
      <c r="C526" s="10"/>
      <c r="D526" s="11" t="s">
        <v>1356</v>
      </c>
      <c r="E526" s="17">
        <f>VLOOKUP(J526,data!C:D,2,0)</f>
        <v>100</v>
      </c>
      <c r="F526" s="266"/>
      <c r="G526" s="2"/>
      <c r="H526" s="2"/>
      <c r="I526" s="2"/>
      <c r="J526" s="13">
        <v>166</v>
      </c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3.25">
      <c r="A527" s="271" t="s">
        <v>1376</v>
      </c>
      <c r="B527" s="270"/>
      <c r="C527" s="270"/>
      <c r="D527" s="270"/>
      <c r="E527" s="27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4.5" customHeight="1">
      <c r="A528" s="2"/>
      <c r="B528" s="14"/>
      <c r="C528" s="2"/>
      <c r="D528" s="2"/>
      <c r="E528" s="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3" t="s">
        <v>1353</v>
      </c>
      <c r="B529" s="4" t="str">
        <f>VLOOKUP(J530,data!C:AQ,16,0)</f>
        <v>Xantto</v>
      </c>
      <c r="C529" s="5"/>
      <c r="D529" s="6" t="s">
        <v>1354</v>
      </c>
      <c r="E529" s="7" t="str">
        <f>VLOOKUP(J530,data!C:AQ,17,0)</f>
        <v>Hartis Bohemia</v>
      </c>
      <c r="F529" s="265" t="s">
        <v>1723</v>
      </c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16" t="s">
        <v>1355</v>
      </c>
      <c r="B530" s="9" t="str">
        <f>VLOOKUP(J530,data!C:AQ,28,0)</f>
        <v>Melounová Helena, MVDr.</v>
      </c>
      <c r="C530" s="10"/>
      <c r="D530" s="11" t="s">
        <v>1356</v>
      </c>
      <c r="E530" s="12">
        <f>VLOOKUP(J530,data!C:D,2,0)</f>
        <v>71</v>
      </c>
      <c r="F530" s="266"/>
      <c r="G530" s="2"/>
      <c r="H530" s="2"/>
      <c r="I530" s="2"/>
      <c r="J530" s="13">
        <v>171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s="237" customFormat="1" ht="4.5" customHeight="1">
      <c r="A531" s="240"/>
      <c r="B531" s="241"/>
      <c r="C531" s="242"/>
      <c r="D531" s="243"/>
      <c r="E531" s="244"/>
      <c r="F531" s="234"/>
      <c r="G531" s="235"/>
      <c r="H531" s="235"/>
      <c r="I531" s="235"/>
      <c r="J531" s="236"/>
      <c r="K531" s="235"/>
      <c r="L531" s="235"/>
      <c r="M531" s="235"/>
      <c r="N531" s="235"/>
      <c r="O531" s="235"/>
      <c r="P531" s="235"/>
      <c r="Q531" s="235"/>
      <c r="R531" s="235"/>
      <c r="S531" s="235"/>
      <c r="T531" s="235"/>
      <c r="U531" s="235"/>
      <c r="V531" s="235"/>
      <c r="W531" s="235"/>
      <c r="X531" s="235"/>
      <c r="Y531" s="235"/>
      <c r="Z531" s="235"/>
    </row>
    <row r="532" spans="1:26" s="228" customFormat="1" ht="12.75">
      <c r="A532" s="3" t="s">
        <v>1353</v>
      </c>
      <c r="B532" s="20" t="str">
        <f>VLOOKUP(J533,data!C:AQ,16,0)</f>
        <v>Karlo</v>
      </c>
      <c r="C532" s="5"/>
      <c r="D532" s="6" t="s">
        <v>1354</v>
      </c>
      <c r="E532" s="7" t="str">
        <f>VLOOKUP(J533,data!C:AQ,17,0)</f>
        <v>vom Team Arlett</v>
      </c>
      <c r="F532" s="265" t="s">
        <v>1721</v>
      </c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s="228" customFormat="1">
      <c r="A533" s="16" t="s">
        <v>1355</v>
      </c>
      <c r="B533" s="9" t="str">
        <f>VLOOKUP(J533,data!C:AQ,28,0)</f>
        <v>Dovrtěl Jiří, Mgr., LL. M.</v>
      </c>
      <c r="C533" s="10"/>
      <c r="D533" s="11" t="s">
        <v>1356</v>
      </c>
      <c r="E533" s="12">
        <f>VLOOKUP(J533,data!C:D,2,0)</f>
        <v>68</v>
      </c>
      <c r="F533" s="266"/>
      <c r="G533" s="2"/>
      <c r="H533" s="2"/>
      <c r="I533" s="2"/>
      <c r="J533" s="216">
        <v>168</v>
      </c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s="237" customFormat="1" ht="4.5" customHeight="1">
      <c r="A534" s="240"/>
      <c r="B534" s="241"/>
      <c r="C534" s="242"/>
      <c r="D534" s="243"/>
      <c r="E534" s="244"/>
      <c r="F534" s="234"/>
      <c r="G534" s="235"/>
      <c r="H534" s="235"/>
      <c r="I534" s="235"/>
      <c r="J534" s="236"/>
      <c r="K534" s="235"/>
      <c r="L534" s="235"/>
      <c r="M534" s="235"/>
      <c r="N534" s="235"/>
      <c r="O534" s="235"/>
      <c r="P534" s="235"/>
      <c r="Q534" s="235"/>
      <c r="R534" s="235"/>
      <c r="S534" s="235"/>
      <c r="T534" s="235"/>
      <c r="U534" s="235"/>
      <c r="V534" s="235"/>
      <c r="W534" s="235"/>
      <c r="X534" s="235"/>
      <c r="Y534" s="235"/>
      <c r="Z534" s="235"/>
    </row>
    <row r="535" spans="1:26" s="228" customFormat="1" ht="12.75">
      <c r="A535" s="3" t="s">
        <v>1353</v>
      </c>
      <c r="B535" s="20" t="str">
        <f>VLOOKUP(J536,data!C:AQ,16,0)</f>
        <v>Brixx</v>
      </c>
      <c r="C535" s="5"/>
      <c r="D535" s="6" t="s">
        <v>1354</v>
      </c>
      <c r="E535" s="7" t="str">
        <f>VLOOKUP(J536,data!C:AQ,17,0)</f>
        <v>Hartis Bohemia</v>
      </c>
      <c r="F535" s="265" t="s">
        <v>1722</v>
      </c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s="228" customFormat="1">
      <c r="A536" s="16" t="s">
        <v>1355</v>
      </c>
      <c r="B536" s="9" t="str">
        <f>VLOOKUP(J536,data!C:AQ,28,0)</f>
        <v>Kastlová Hana</v>
      </c>
      <c r="C536" s="10"/>
      <c r="D536" s="11" t="s">
        <v>1356</v>
      </c>
      <c r="E536" s="12">
        <f>VLOOKUP(J536,data!C:D,2,0)</f>
        <v>67</v>
      </c>
      <c r="F536" s="266"/>
      <c r="G536" s="2"/>
      <c r="H536" s="2"/>
      <c r="I536" s="2"/>
      <c r="J536" s="216">
        <v>167</v>
      </c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s="237" customFormat="1" ht="4.5" customHeight="1">
      <c r="A537" s="240"/>
      <c r="B537" s="241"/>
      <c r="C537" s="242"/>
      <c r="D537" s="243"/>
      <c r="E537" s="244"/>
      <c r="F537" s="234"/>
      <c r="G537" s="235"/>
      <c r="H537" s="235"/>
      <c r="I537" s="235"/>
      <c r="J537" s="236"/>
      <c r="K537" s="235"/>
      <c r="L537" s="235"/>
      <c r="M537" s="235"/>
      <c r="N537" s="235"/>
      <c r="O537" s="235"/>
      <c r="P537" s="235"/>
      <c r="Q537" s="235"/>
      <c r="R537" s="235"/>
      <c r="S537" s="235"/>
      <c r="T537" s="235"/>
      <c r="U537" s="235"/>
      <c r="V537" s="235"/>
      <c r="W537" s="235"/>
      <c r="X537" s="235"/>
      <c r="Y537" s="235"/>
      <c r="Z537" s="235"/>
    </row>
    <row r="538" spans="1:26" s="228" customFormat="1" ht="12.75">
      <c r="A538" s="3" t="s">
        <v>1353</v>
      </c>
      <c r="B538" s="20" t="str">
        <f>VLOOKUP(J539,data!C:AQ,16,0)</f>
        <v>Labo</v>
      </c>
      <c r="C538" s="5"/>
      <c r="D538" s="6" t="s">
        <v>1354</v>
      </c>
      <c r="E538" s="7" t="str">
        <f>VLOOKUP(J539,data!C:AQ,17,0)</f>
        <v>z Podradbuzí</v>
      </c>
      <c r="F538" s="265" t="s">
        <v>1724</v>
      </c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s="228" customFormat="1">
      <c r="A539" s="16" t="s">
        <v>1355</v>
      </c>
      <c r="B539" s="9" t="str">
        <f>VLOOKUP(J539,data!C:AQ,28,0)</f>
        <v>Kerul Vladimír</v>
      </c>
      <c r="C539" s="10"/>
      <c r="D539" s="11" t="s">
        <v>1356</v>
      </c>
      <c r="E539" s="12">
        <f>VLOOKUP(J539,data!C:D,2,0)</f>
        <v>69</v>
      </c>
      <c r="F539" s="266"/>
      <c r="G539" s="2"/>
      <c r="H539" s="2"/>
      <c r="I539" s="2"/>
      <c r="J539" s="216">
        <v>169</v>
      </c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s="237" customFormat="1" ht="4.5" customHeight="1">
      <c r="A540" s="240"/>
      <c r="B540" s="241"/>
      <c r="C540" s="242"/>
      <c r="D540" s="243"/>
      <c r="E540" s="244"/>
      <c r="F540" s="234"/>
      <c r="G540" s="235"/>
      <c r="H540" s="235"/>
      <c r="I540" s="235"/>
      <c r="J540" s="236"/>
      <c r="K540" s="235"/>
      <c r="L540" s="235"/>
      <c r="M540" s="235"/>
      <c r="N540" s="235"/>
      <c r="O540" s="235"/>
      <c r="P540" s="235"/>
      <c r="Q540" s="235"/>
      <c r="R540" s="235"/>
      <c r="S540" s="235"/>
      <c r="T540" s="235"/>
      <c r="U540" s="235"/>
      <c r="V540" s="235"/>
      <c r="W540" s="235"/>
      <c r="X540" s="235"/>
      <c r="Y540" s="235"/>
      <c r="Z540" s="235"/>
    </row>
    <row r="541" spans="1:26" s="228" customFormat="1" ht="12.75">
      <c r="A541" s="3" t="s">
        <v>1353</v>
      </c>
      <c r="B541" s="20" t="str">
        <f>VLOOKUP(J542,data!C:AQ,16,0)</f>
        <v>Morpheus</v>
      </c>
      <c r="C541" s="5"/>
      <c r="D541" s="6" t="s">
        <v>1354</v>
      </c>
      <c r="E541" s="7" t="str">
        <f>VLOOKUP(J542,data!C:AQ,17,0)</f>
        <v>Anrebri</v>
      </c>
      <c r="F541" s="265" t="s">
        <v>1725</v>
      </c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s="228" customFormat="1">
      <c r="A542" s="16" t="s">
        <v>1355</v>
      </c>
      <c r="B542" s="9" t="str">
        <f>VLOOKUP(J542,data!C:AQ,28,0)</f>
        <v>Trnová Martina</v>
      </c>
      <c r="C542" s="10"/>
      <c r="D542" s="11" t="s">
        <v>1356</v>
      </c>
      <c r="E542" s="12">
        <f>VLOOKUP(J542,data!C:D,2,0)</f>
        <v>70</v>
      </c>
      <c r="F542" s="266"/>
      <c r="G542" s="2"/>
      <c r="H542" s="2"/>
      <c r="I542" s="2"/>
      <c r="J542" s="216">
        <v>170</v>
      </c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s="237" customFormat="1" ht="4.5" customHeight="1">
      <c r="A543" s="240"/>
      <c r="B543" s="241"/>
      <c r="C543" s="242"/>
      <c r="D543" s="243"/>
      <c r="E543" s="244"/>
      <c r="F543" s="234"/>
      <c r="G543" s="235"/>
      <c r="H543" s="235"/>
      <c r="I543" s="235"/>
      <c r="J543" s="236"/>
      <c r="K543" s="235"/>
      <c r="L543" s="235"/>
      <c r="M543" s="235"/>
      <c r="N543" s="235"/>
      <c r="O543" s="235"/>
      <c r="P543" s="235"/>
      <c r="Q543" s="235"/>
      <c r="R543" s="235"/>
      <c r="S543" s="235"/>
      <c r="T543" s="235"/>
      <c r="U543" s="235"/>
      <c r="V543" s="235"/>
      <c r="W543" s="235"/>
      <c r="X543" s="235"/>
      <c r="Y543" s="235"/>
      <c r="Z543" s="235"/>
    </row>
    <row r="544" spans="1:26" ht="23.25">
      <c r="A544" s="271" t="s">
        <v>1377</v>
      </c>
      <c r="B544" s="270"/>
      <c r="C544" s="270"/>
      <c r="D544" s="270"/>
      <c r="E544" s="2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3" t="s">
        <v>1353</v>
      </c>
      <c r="B545" s="4" t="str">
        <f>VLOOKUP(J546,data!C:AQ,16,0)</f>
        <v>Enco</v>
      </c>
      <c r="C545" s="5"/>
      <c r="D545" s="6" t="s">
        <v>1354</v>
      </c>
      <c r="E545" s="7" t="str">
        <f>VLOOKUP(J546,data!C:AQ,17,0)</f>
        <v>Framato Rolau</v>
      </c>
      <c r="F545" s="265" t="s">
        <v>1723</v>
      </c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16" t="s">
        <v>1355</v>
      </c>
      <c r="B546" s="9" t="str">
        <f>VLOOKUP(J546,data!C:AQ,28,0)</f>
        <v>Grznárová Hana</v>
      </c>
      <c r="C546" s="10"/>
      <c r="D546" s="11" t="s">
        <v>1356</v>
      </c>
      <c r="E546" s="12">
        <f>VLOOKUP(J546,data!C:D,2,0)</f>
        <v>72</v>
      </c>
      <c r="F546" s="266"/>
      <c r="G546" s="2"/>
      <c r="H546" s="2"/>
      <c r="I546" s="2"/>
      <c r="J546" s="13">
        <v>172</v>
      </c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3.25">
      <c r="A547" s="271" t="s">
        <v>1378</v>
      </c>
      <c r="B547" s="270"/>
      <c r="C547" s="270"/>
      <c r="D547" s="270"/>
      <c r="E547" s="270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s="237" customFormat="1" ht="4.5" customHeight="1">
      <c r="A548" s="229"/>
      <c r="B548" s="230"/>
      <c r="C548" s="231"/>
      <c r="D548" s="232"/>
      <c r="E548" s="233"/>
      <c r="F548" s="234"/>
      <c r="G548" s="235"/>
      <c r="H548" s="235"/>
      <c r="I548" s="235"/>
      <c r="J548" s="236"/>
      <c r="K548" s="235"/>
      <c r="L548" s="235"/>
      <c r="M548" s="235"/>
      <c r="N548" s="235"/>
      <c r="O548" s="235"/>
      <c r="P548" s="235"/>
      <c r="Q548" s="235"/>
      <c r="R548" s="235"/>
      <c r="S548" s="235"/>
      <c r="T548" s="235"/>
      <c r="U548" s="235"/>
      <c r="V548" s="235"/>
      <c r="W548" s="235"/>
      <c r="X548" s="235"/>
      <c r="Y548" s="235"/>
      <c r="Z548" s="235"/>
    </row>
    <row r="549" spans="1:26" s="228" customFormat="1" ht="12.75">
      <c r="A549" s="3" t="s">
        <v>1353</v>
      </c>
      <c r="B549" s="20" t="str">
        <f>VLOOKUP(J550,data!C:AQ,16,0)</f>
        <v>Chipsi</v>
      </c>
      <c r="C549" s="5"/>
      <c r="D549" s="6" t="s">
        <v>1354</v>
      </c>
      <c r="E549" s="7" t="str">
        <f>VLOOKUP(J550,data!C:AQ,17,0)</f>
        <v>Vitaxis</v>
      </c>
      <c r="F549" s="265" t="s">
        <v>1723</v>
      </c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s="228" customFormat="1">
      <c r="A550" s="16" t="s">
        <v>1355</v>
      </c>
      <c r="B550" s="9" t="str">
        <f>VLOOKUP(J550,data!C:AQ,28,0)</f>
        <v>Janota Luděk, Mgr.</v>
      </c>
      <c r="C550" s="10"/>
      <c r="D550" s="11" t="s">
        <v>1356</v>
      </c>
      <c r="E550" s="17">
        <f>VLOOKUP(J550,data!C:D,2,0)</f>
        <v>102</v>
      </c>
      <c r="F550" s="266"/>
      <c r="G550" s="2"/>
      <c r="H550" s="2"/>
      <c r="I550" s="2"/>
      <c r="J550" s="216">
        <v>174</v>
      </c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s="237" customFormat="1" ht="4.5" customHeight="1">
      <c r="A551" s="229"/>
      <c r="B551" s="230"/>
      <c r="C551" s="231"/>
      <c r="D551" s="232"/>
      <c r="E551" s="233"/>
      <c r="F551" s="234"/>
      <c r="G551" s="235"/>
      <c r="H551" s="235"/>
      <c r="I551" s="235"/>
      <c r="J551" s="236"/>
      <c r="K551" s="235"/>
      <c r="L551" s="235"/>
      <c r="M551" s="235"/>
      <c r="N551" s="235"/>
      <c r="O551" s="235"/>
      <c r="P551" s="235"/>
      <c r="Q551" s="235"/>
      <c r="R551" s="235"/>
      <c r="S551" s="235"/>
      <c r="T551" s="235"/>
      <c r="U551" s="235"/>
      <c r="V551" s="235"/>
      <c r="W551" s="235"/>
      <c r="X551" s="235"/>
      <c r="Y551" s="235"/>
      <c r="Z551" s="235"/>
    </row>
    <row r="552" spans="1:26" s="228" customFormat="1" ht="12.75">
      <c r="A552" s="3" t="s">
        <v>1353</v>
      </c>
      <c r="B552" s="20" t="str">
        <f>VLOOKUP(J553,data!C:AQ,16,0)</f>
        <v>Polly</v>
      </c>
      <c r="C552" s="5"/>
      <c r="D552" s="6" t="s">
        <v>1354</v>
      </c>
      <c r="E552" s="7" t="str">
        <f>VLOOKUP(J553,data!C:AQ,17,0)</f>
        <v>Damyl Junior</v>
      </c>
      <c r="F552" s="265" t="s">
        <v>1721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s="228" customFormat="1">
      <c r="A553" s="16" t="s">
        <v>1355</v>
      </c>
      <c r="B553" s="9" t="str">
        <f>VLOOKUP(J553,data!C:AQ,28,0)</f>
        <v>Brynda Vladimír</v>
      </c>
      <c r="C553" s="10"/>
      <c r="D553" s="11" t="s">
        <v>1356</v>
      </c>
      <c r="E553" s="17">
        <f>VLOOKUP(J553,data!C:D,2,0)</f>
        <v>104</v>
      </c>
      <c r="F553" s="266"/>
      <c r="G553" s="2"/>
      <c r="H553" s="2"/>
      <c r="I553" s="2"/>
      <c r="J553" s="216">
        <v>176</v>
      </c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s="237" customFormat="1" ht="4.5" customHeight="1">
      <c r="A554" s="229"/>
      <c r="B554" s="230"/>
      <c r="C554" s="231"/>
      <c r="D554" s="232"/>
      <c r="E554" s="233"/>
      <c r="F554" s="234"/>
      <c r="G554" s="235"/>
      <c r="H554" s="235"/>
      <c r="I554" s="235"/>
      <c r="J554" s="236"/>
      <c r="K554" s="235"/>
      <c r="L554" s="235"/>
      <c r="M554" s="235"/>
      <c r="N554" s="235"/>
      <c r="O554" s="235"/>
      <c r="P554" s="235"/>
      <c r="Q554" s="235"/>
      <c r="R554" s="235"/>
      <c r="S554" s="235"/>
      <c r="T554" s="235"/>
      <c r="U554" s="235"/>
      <c r="V554" s="235"/>
      <c r="W554" s="235"/>
      <c r="X554" s="235"/>
      <c r="Y554" s="235"/>
      <c r="Z554" s="235"/>
    </row>
    <row r="555" spans="1:26" s="228" customFormat="1" ht="12.75">
      <c r="A555" s="3" t="s">
        <v>1353</v>
      </c>
      <c r="B555" s="20" t="str">
        <f>VLOOKUP(J556,data!C:AQ,16,0)</f>
        <v>Dafnie</v>
      </c>
      <c r="C555" s="5"/>
      <c r="D555" s="6" t="s">
        <v>1354</v>
      </c>
      <c r="E555" s="7" t="str">
        <f>VLOOKUP(J556,data!C:AQ,17,0)</f>
        <v>Best  of the Gods</v>
      </c>
      <c r="F555" s="265" t="s">
        <v>1722</v>
      </c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s="228" customFormat="1">
      <c r="A556" s="16" t="s">
        <v>1355</v>
      </c>
      <c r="B556" s="9" t="str">
        <f>VLOOKUP(J556,data!C:AQ,28,0)</f>
        <v>Konvalinková Veronika</v>
      </c>
      <c r="C556" s="21"/>
      <c r="D556" s="22" t="s">
        <v>1356</v>
      </c>
      <c r="E556" s="17">
        <f>VLOOKUP(J556,data!C:D,2,0)</f>
        <v>103</v>
      </c>
      <c r="F556" s="266"/>
      <c r="G556" s="2"/>
      <c r="H556" s="2"/>
      <c r="I556" s="2"/>
      <c r="J556" s="216">
        <v>175</v>
      </c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s="237" customFormat="1" ht="4.5" customHeight="1">
      <c r="A557" s="229"/>
      <c r="B557" s="230"/>
      <c r="C557" s="238"/>
      <c r="D557" s="239"/>
      <c r="E557" s="233"/>
      <c r="F557" s="234"/>
      <c r="G557" s="235"/>
      <c r="H557" s="235"/>
      <c r="I557" s="235"/>
      <c r="J557" s="236"/>
      <c r="K557" s="235"/>
      <c r="L557" s="235"/>
      <c r="M557" s="235"/>
      <c r="N557" s="235"/>
      <c r="O557" s="235"/>
      <c r="P557" s="235"/>
      <c r="Q557" s="235"/>
      <c r="R557" s="235"/>
      <c r="S557" s="235"/>
      <c r="T557" s="235"/>
      <c r="U557" s="235"/>
      <c r="V557" s="235"/>
      <c r="W557" s="235"/>
      <c r="X557" s="235"/>
      <c r="Y557" s="235"/>
      <c r="Z557" s="235"/>
    </row>
    <row r="558" spans="1:26" s="228" customFormat="1" ht="12.75">
      <c r="A558" s="3" t="s">
        <v>1353</v>
      </c>
      <c r="B558" s="20" t="str">
        <f>VLOOKUP(J559,data!C:AQ,16,0)</f>
        <v>Arlett</v>
      </c>
      <c r="C558" s="5"/>
      <c r="D558" s="6" t="s">
        <v>1354</v>
      </c>
      <c r="E558" s="7" t="str">
        <f>VLOOKUP(J559,data!C:AQ,17,0)</f>
        <v>Iluze</v>
      </c>
      <c r="F558" s="265" t="s">
        <v>1724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s="228" customFormat="1">
      <c r="A559" s="16" t="s">
        <v>1355</v>
      </c>
      <c r="B559" s="9" t="str">
        <f>VLOOKUP(J559,data!C:AQ,28,0)</f>
        <v>Žák Kamil</v>
      </c>
      <c r="C559" s="10"/>
      <c r="D559" s="11" t="s">
        <v>1356</v>
      </c>
      <c r="E559" s="17">
        <f>VLOOKUP(J559,data!C:D,2,0)</f>
        <v>101</v>
      </c>
      <c r="F559" s="266"/>
      <c r="G559" s="2"/>
      <c r="H559" s="2"/>
      <c r="I559" s="2"/>
      <c r="J559" s="216">
        <v>173</v>
      </c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s="228" customFormat="1" ht="23.25">
      <c r="A560" s="273" t="s">
        <v>1379</v>
      </c>
      <c r="B560" s="273"/>
      <c r="C560" s="273"/>
      <c r="D560" s="273"/>
      <c r="E560" s="27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23" t="s">
        <v>1353</v>
      </c>
      <c r="B561" s="4" t="str">
        <f>VLOOKUP(J562,data!C:AQ,16,0)</f>
        <v>Edith</v>
      </c>
      <c r="C561" s="24"/>
      <c r="D561" s="25" t="s">
        <v>1354</v>
      </c>
      <c r="E561" s="7" t="str">
        <f>VLOOKUP(J562,data!C:AQ,17,0)</f>
        <v>Framato Rolau</v>
      </c>
      <c r="F561" s="265" t="s">
        <v>1720</v>
      </c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8" t="s">
        <v>1355</v>
      </c>
      <c r="B562" s="9" t="str">
        <f>VLOOKUP(J562,data!C:AQ,28,0)</f>
        <v>Grznárová Hana</v>
      </c>
      <c r="C562" s="10"/>
      <c r="D562" s="11" t="s">
        <v>1356</v>
      </c>
      <c r="E562" s="17">
        <f>VLOOKUP(J562,data!C:D,2,0)</f>
        <v>105</v>
      </c>
      <c r="F562" s="266"/>
      <c r="G562" s="2"/>
      <c r="H562" s="2"/>
      <c r="I562" s="2"/>
      <c r="J562" s="13">
        <v>177</v>
      </c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4.5" customHeight="1"/>
    <row r="564" spans="1:26" s="228" customFormat="1" ht="12.75">
      <c r="A564" s="3" t="s">
        <v>1353</v>
      </c>
      <c r="B564" s="20" t="str">
        <f>VLOOKUP(J565,data!C:AQ,16,0)</f>
        <v>Bella</v>
      </c>
      <c r="C564" s="5"/>
      <c r="D564" s="6" t="s">
        <v>1354</v>
      </c>
      <c r="E564" s="7" t="str">
        <f>VLOOKUP(J565,data!C:AQ,17,0)</f>
        <v>di Grande Torrente</v>
      </c>
      <c r="F564" s="265" t="s">
        <v>359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s="228" customFormat="1">
      <c r="A565" s="16" t="s">
        <v>1355</v>
      </c>
      <c r="B565" s="9" t="str">
        <f>VLOOKUP(J565,data!C:AQ,28,0)</f>
        <v>Šejdová Jana</v>
      </c>
      <c r="C565" s="10"/>
      <c r="D565" s="11" t="s">
        <v>1356</v>
      </c>
      <c r="E565" s="17">
        <f>VLOOKUP(J565,data!C:D,2,0)</f>
        <v>35</v>
      </c>
      <c r="F565" s="266"/>
      <c r="G565" s="2"/>
      <c r="H565" s="2"/>
      <c r="I565" s="2"/>
      <c r="J565" s="216">
        <v>74</v>
      </c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s="228" customFormat="1" ht="4.5" customHeight="1">
      <c r="A566" s="2"/>
      <c r="B566" s="14"/>
      <c r="C566" s="2"/>
      <c r="D566" s="2"/>
      <c r="E566" s="21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s="228" customFormat="1" ht="12.75">
      <c r="A567" s="3" t="s">
        <v>1353</v>
      </c>
      <c r="B567" s="20" t="str">
        <f>VLOOKUP(J568,data!C:AQ,16,0)</f>
        <v>Corny</v>
      </c>
      <c r="C567" s="5"/>
      <c r="D567" s="6" t="s">
        <v>1354</v>
      </c>
      <c r="E567" s="7" t="str">
        <f>VLOOKUP(J568,data!C:AQ,17,0)</f>
        <v>Best of the Gods</v>
      </c>
      <c r="F567" s="265" t="s">
        <v>359</v>
      </c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s="228" customFormat="1">
      <c r="A568" s="16" t="s">
        <v>1355</v>
      </c>
      <c r="B568" s="9" t="str">
        <f>VLOOKUP(J568,data!C:AQ,28,0)</f>
        <v>Knížková Tereza a Eliška</v>
      </c>
      <c r="C568" s="10"/>
      <c r="D568" s="11" t="s">
        <v>1356</v>
      </c>
      <c r="E568" s="17">
        <f>VLOOKUP(J568,data!C:D,2,0)</f>
        <v>40</v>
      </c>
      <c r="F568" s="266"/>
      <c r="G568" s="2"/>
      <c r="H568" s="2"/>
      <c r="I568" s="2"/>
      <c r="J568" s="216">
        <v>79</v>
      </c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s="228" customFormat="1" ht="4.5" customHeight="1">
      <c r="A569" s="2"/>
      <c r="B569" s="14"/>
      <c r="C569" s="2"/>
      <c r="D569" s="2"/>
      <c r="E569" s="21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s="228" customFormat="1" ht="12.75">
      <c r="A570" s="3" t="s">
        <v>1353</v>
      </c>
      <c r="B570" s="20" t="str">
        <f>VLOOKUP(J571,data!C:AQ,16,0)</f>
        <v>Jeckye</v>
      </c>
      <c r="C570" s="5"/>
      <c r="D570" s="6" t="s">
        <v>1354</v>
      </c>
      <c r="E570" s="7" t="str">
        <f>VLOOKUP(J571,data!C:AQ,17,0)</f>
        <v>z Folinku</v>
      </c>
      <c r="F570" s="265" t="s">
        <v>359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s="228" customFormat="1">
      <c r="A571" s="16" t="s">
        <v>1355</v>
      </c>
      <c r="B571" s="9" t="str">
        <f>VLOOKUP(J571,data!C:AQ,28,0)</f>
        <v>Šejdová Jana</v>
      </c>
      <c r="C571" s="10"/>
      <c r="D571" s="11" t="s">
        <v>1356</v>
      </c>
      <c r="E571" s="17">
        <f>VLOOKUP(J571,data!C:D,2,0)</f>
        <v>42</v>
      </c>
      <c r="F571" s="266"/>
      <c r="G571" s="2"/>
      <c r="H571" s="2"/>
      <c r="I571" s="2"/>
      <c r="J571" s="216">
        <v>81</v>
      </c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s="228" customFormat="1" ht="4.5" customHeight="1">
      <c r="A572" s="2"/>
      <c r="B572" s="14"/>
      <c r="C572" s="2"/>
      <c r="D572" s="2"/>
      <c r="E572" s="2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s="228" customFormat="1" ht="12.75">
      <c r="A573" s="3" t="s">
        <v>1353</v>
      </c>
      <c r="B573" s="20" t="str">
        <f>VLOOKUP(J574,data!C:AQ,16,0)</f>
        <v xml:space="preserve">Orri </v>
      </c>
      <c r="C573" s="5"/>
      <c r="D573" s="6" t="s">
        <v>1354</v>
      </c>
      <c r="E573" s="7" t="str">
        <f>VLOOKUP(J574,data!C:AQ,17,0)</f>
        <v>Znerop</v>
      </c>
      <c r="F573" s="265" t="s">
        <v>359</v>
      </c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s="228" customFormat="1">
      <c r="A574" s="16" t="s">
        <v>1355</v>
      </c>
      <c r="B574" s="9" t="str">
        <f>VLOOKUP(J574,data!C:AQ,28,0)</f>
        <v>Kuchařík Karel</v>
      </c>
      <c r="C574" s="10"/>
      <c r="D574" s="11" t="s">
        <v>1356</v>
      </c>
      <c r="E574" s="17">
        <f>VLOOKUP(J574,data!C:D,2,0)</f>
        <v>44</v>
      </c>
      <c r="F574" s="266"/>
      <c r="G574" s="2"/>
      <c r="H574" s="2"/>
      <c r="I574" s="2"/>
      <c r="J574" s="216">
        <v>83</v>
      </c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s="228" customFormat="1" ht="4.5" customHeight="1">
      <c r="A575" s="2"/>
      <c r="B575" s="14"/>
      <c r="C575" s="2"/>
      <c r="D575" s="2"/>
      <c r="E575" s="21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s="228" customFormat="1" ht="12.75">
      <c r="A576" s="3" t="s">
        <v>1353</v>
      </c>
      <c r="B576" s="20" t="str">
        <f>VLOOKUP(J577,data!C:AQ,16,0)</f>
        <v>U Tayra</v>
      </c>
      <c r="C576" s="5"/>
      <c r="D576" s="6" t="s">
        <v>1354</v>
      </c>
      <c r="E576" s="7" t="str">
        <f>VLOOKUP(J577,data!C:AQ,17,0)</f>
        <v>Mir-Jar</v>
      </c>
      <c r="F576" s="265" t="s">
        <v>359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s="228" customFormat="1">
      <c r="A577" s="16" t="s">
        <v>1355</v>
      </c>
      <c r="B577" s="9" t="str">
        <f>VLOOKUP(J577,data!C:AQ,28,0)</f>
        <v>Půža Jiří</v>
      </c>
      <c r="C577" s="10"/>
      <c r="D577" s="11" t="s">
        <v>1356</v>
      </c>
      <c r="E577" s="17">
        <f>VLOOKUP(J577,data!C:D,2,0)</f>
        <v>46</v>
      </c>
      <c r="F577" s="266"/>
      <c r="G577" s="2"/>
      <c r="H577" s="2"/>
      <c r="I577" s="2"/>
      <c r="J577" s="216">
        <v>85</v>
      </c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s="228" customFormat="1" ht="4.5" customHeight="1">
      <c r="A578" s="2"/>
      <c r="B578" s="14"/>
      <c r="C578" s="2"/>
      <c r="D578" s="2"/>
      <c r="E578" s="2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s="228" customFormat="1" ht="12.75">
      <c r="A579" s="3" t="s">
        <v>1353</v>
      </c>
      <c r="B579" s="20" t="str">
        <f>VLOOKUP(J580,data!C:AQ,16,0)</f>
        <v>Viboy</v>
      </c>
      <c r="C579" s="5"/>
      <c r="D579" s="6" t="s">
        <v>1354</v>
      </c>
      <c r="E579" s="7" t="str">
        <f>VLOOKUP(J580,data!C:AQ,17,0)</f>
        <v>vom Eichenplatz</v>
      </c>
      <c r="F579" s="265" t="s">
        <v>359</v>
      </c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s="228" customFormat="1">
      <c r="A580" s="16" t="s">
        <v>1355</v>
      </c>
      <c r="B580" s="9" t="str">
        <f>VLOOKUP(J580,data!C:AQ,28,0)</f>
        <v>Kopeční Irena a Roman</v>
      </c>
      <c r="C580" s="10"/>
      <c r="D580" s="11" t="s">
        <v>1356</v>
      </c>
      <c r="E580" s="17">
        <f>VLOOKUP(J580,data!C:D,2,0)</f>
        <v>48</v>
      </c>
      <c r="F580" s="266"/>
      <c r="G580" s="2"/>
      <c r="H580" s="2"/>
      <c r="I580" s="2"/>
      <c r="J580" s="216">
        <v>87</v>
      </c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s="228" customFormat="1" ht="4.5" customHeight="1">
      <c r="A581" s="2"/>
      <c r="B581" s="14"/>
      <c r="C581" s="2"/>
      <c r="D581" s="2"/>
      <c r="E581" s="21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s="228" customFormat="1" ht="12.75">
      <c r="A582" s="3" t="s">
        <v>1353</v>
      </c>
      <c r="B582" s="20" t="str">
        <f>VLOOKUP(J583,data!C:AQ,16,0)</f>
        <v>Xaira</v>
      </c>
      <c r="C582" s="5"/>
      <c r="D582" s="6" t="s">
        <v>1354</v>
      </c>
      <c r="E582" s="7" t="str">
        <f>VLOOKUP(J583,data!C:AQ,17,0)</f>
        <v>Hartis Bohemia</v>
      </c>
      <c r="F582" s="265" t="s">
        <v>359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s="228" customFormat="1">
      <c r="A583" s="16" t="s">
        <v>1355</v>
      </c>
      <c r="B583" s="9" t="str">
        <f>VLOOKUP(J583,data!C:AQ,28,0)</f>
        <v>Melounová Helena, MVDr.</v>
      </c>
      <c r="C583" s="10"/>
      <c r="D583" s="11" t="s">
        <v>1356</v>
      </c>
      <c r="E583" s="17">
        <f>VLOOKUP(J583,data!C:D,2,0)</f>
        <v>49</v>
      </c>
      <c r="F583" s="266"/>
      <c r="G583" s="2"/>
      <c r="H583" s="2"/>
      <c r="I583" s="2"/>
      <c r="J583" s="216">
        <v>88</v>
      </c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6" spans="1:26" ht="33" customHeight="1">
      <c r="A586" s="263" t="s">
        <v>1774</v>
      </c>
      <c r="B586" s="264"/>
      <c r="C586" s="264"/>
      <c r="D586" s="264"/>
      <c r="E586" s="264"/>
    </row>
    <row r="588" spans="1:26" ht="15.75" customHeight="1">
      <c r="A588" s="253" t="s">
        <v>1776</v>
      </c>
      <c r="C588" s="253" t="s">
        <v>1780</v>
      </c>
    </row>
    <row r="589" spans="1:26" ht="15.75" customHeight="1">
      <c r="A589" s="253" t="s">
        <v>1777</v>
      </c>
      <c r="C589" s="253" t="s">
        <v>1781</v>
      </c>
    </row>
    <row r="590" spans="1:26" ht="15.75" customHeight="1">
      <c r="A590" s="253" t="s">
        <v>1778</v>
      </c>
      <c r="C590" s="253" t="s">
        <v>1783</v>
      </c>
    </row>
    <row r="591" spans="1:26" ht="15.75" customHeight="1">
      <c r="A591" s="253" t="s">
        <v>1779</v>
      </c>
      <c r="C591" s="253" t="s">
        <v>1782</v>
      </c>
    </row>
    <row r="593" spans="1:3" ht="15.75" customHeight="1">
      <c r="A593" s="253" t="s">
        <v>1775</v>
      </c>
      <c r="C593" s="253" t="s">
        <v>1784</v>
      </c>
    </row>
  </sheetData>
  <mergeCells count="209">
    <mergeCell ref="F279:F280"/>
    <mergeCell ref="F561:F562"/>
    <mergeCell ref="F522:F523"/>
    <mergeCell ref="F525:F526"/>
    <mergeCell ref="F479:F480"/>
    <mergeCell ref="F482:F483"/>
    <mergeCell ref="F485:F486"/>
    <mergeCell ref="F488:F489"/>
    <mergeCell ref="F549:F550"/>
    <mergeCell ref="F552:F553"/>
    <mergeCell ref="F555:F556"/>
    <mergeCell ref="F558:F559"/>
    <mergeCell ref="F529:F530"/>
    <mergeCell ref="F545:F546"/>
    <mergeCell ref="F535:F536"/>
    <mergeCell ref="F532:F533"/>
    <mergeCell ref="F515:F516"/>
    <mergeCell ref="F518:F519"/>
    <mergeCell ref="F538:F539"/>
    <mergeCell ref="F541:F542"/>
    <mergeCell ref="F473:F474"/>
    <mergeCell ref="F476:F477"/>
    <mergeCell ref="F491:F492"/>
    <mergeCell ref="F494:F495"/>
    <mergeCell ref="F497:F498"/>
    <mergeCell ref="F500:F501"/>
    <mergeCell ref="F503:F504"/>
    <mergeCell ref="F509:F510"/>
    <mergeCell ref="F512:F513"/>
    <mergeCell ref="F506:F507"/>
    <mergeCell ref="F438:F439"/>
    <mergeCell ref="F441:F442"/>
    <mergeCell ref="F424:F425"/>
    <mergeCell ref="F469:F470"/>
    <mergeCell ref="F444:F445"/>
    <mergeCell ref="F447:F448"/>
    <mergeCell ref="F450:F451"/>
    <mergeCell ref="F453:F454"/>
    <mergeCell ref="F456:F457"/>
    <mergeCell ref="F459:F460"/>
    <mergeCell ref="F462:F463"/>
    <mergeCell ref="F465:F466"/>
    <mergeCell ref="F427:F428"/>
    <mergeCell ref="F430:F431"/>
    <mergeCell ref="F433:F434"/>
    <mergeCell ref="F298:F299"/>
    <mergeCell ref="F341:F342"/>
    <mergeCell ref="F344:F345"/>
    <mergeCell ref="F347:F348"/>
    <mergeCell ref="F392:F393"/>
    <mergeCell ref="F364:F365"/>
    <mergeCell ref="F367:F368"/>
    <mergeCell ref="F370:F371"/>
    <mergeCell ref="F373:F374"/>
    <mergeCell ref="F376:F377"/>
    <mergeCell ref="F379:F380"/>
    <mergeCell ref="F382:F383"/>
    <mergeCell ref="F385:F386"/>
    <mergeCell ref="F388:F389"/>
    <mergeCell ref="F354:F355"/>
    <mergeCell ref="F357:F358"/>
    <mergeCell ref="F360:F361"/>
    <mergeCell ref="F317:F318"/>
    <mergeCell ref="F320:F321"/>
    <mergeCell ref="F323:F324"/>
    <mergeCell ref="A521:E521"/>
    <mergeCell ref="A527:E527"/>
    <mergeCell ref="A560:E560"/>
    <mergeCell ref="A544:E544"/>
    <mergeCell ref="A547:E547"/>
    <mergeCell ref="A391:E391"/>
    <mergeCell ref="A395:E395"/>
    <mergeCell ref="A471:E471"/>
    <mergeCell ref="A315:E315"/>
    <mergeCell ref="A468:E468"/>
    <mergeCell ref="A443:E443"/>
    <mergeCell ref="A437:E437"/>
    <mergeCell ref="A352:E352"/>
    <mergeCell ref="A362:E362"/>
    <mergeCell ref="F412:F413"/>
    <mergeCell ref="F415:F416"/>
    <mergeCell ref="F418:F419"/>
    <mergeCell ref="F421:F422"/>
    <mergeCell ref="A2:E2"/>
    <mergeCell ref="A78:E78"/>
    <mergeCell ref="A92:E92"/>
    <mergeCell ref="A301:E301"/>
    <mergeCell ref="A197:E197"/>
    <mergeCell ref="A229:E229"/>
    <mergeCell ref="A180:E180"/>
    <mergeCell ref="F3:F4"/>
    <mergeCell ref="F15:F16"/>
    <mergeCell ref="F30:F31"/>
    <mergeCell ref="A288:E288"/>
    <mergeCell ref="F205:F206"/>
    <mergeCell ref="F208:F209"/>
    <mergeCell ref="F211:F212"/>
    <mergeCell ref="F214:F215"/>
    <mergeCell ref="F220:F221"/>
    <mergeCell ref="F226:F227"/>
    <mergeCell ref="F285:F286"/>
    <mergeCell ref="F292:F293"/>
    <mergeCell ref="F295:F296"/>
    <mergeCell ref="F567:F568"/>
    <mergeCell ref="F570:F571"/>
    <mergeCell ref="F573:F574"/>
    <mergeCell ref="F576:F577"/>
    <mergeCell ref="F579:F580"/>
    <mergeCell ref="F582:F583"/>
    <mergeCell ref="F303:F304"/>
    <mergeCell ref="F231:F232"/>
    <mergeCell ref="F234:F235"/>
    <mergeCell ref="F237:F238"/>
    <mergeCell ref="F240:F241"/>
    <mergeCell ref="F243:F244"/>
    <mergeCell ref="F246:F247"/>
    <mergeCell ref="F249:F250"/>
    <mergeCell ref="F252:F253"/>
    <mergeCell ref="F255:F256"/>
    <mergeCell ref="F258:F259"/>
    <mergeCell ref="F261:F262"/>
    <mergeCell ref="F264:F265"/>
    <mergeCell ref="F267:F268"/>
    <mergeCell ref="F270:F271"/>
    <mergeCell ref="F273:F274"/>
    <mergeCell ref="F276:F277"/>
    <mergeCell ref="F409:F410"/>
    <mergeCell ref="F199:F200"/>
    <mergeCell ref="F202:F203"/>
    <mergeCell ref="F217:F218"/>
    <mergeCell ref="F223:F224"/>
    <mergeCell ref="F185:F186"/>
    <mergeCell ref="F188:F189"/>
    <mergeCell ref="F191:F192"/>
    <mergeCell ref="F194:F195"/>
    <mergeCell ref="F564:F565"/>
    <mergeCell ref="F282:F283"/>
    <mergeCell ref="F289:F290"/>
    <mergeCell ref="F326:F327"/>
    <mergeCell ref="F329:F330"/>
    <mergeCell ref="F332:F333"/>
    <mergeCell ref="F335:F336"/>
    <mergeCell ref="F338:F339"/>
    <mergeCell ref="F350:F351"/>
    <mergeCell ref="F309:F310"/>
    <mergeCell ref="F312:F313"/>
    <mergeCell ref="F306:F307"/>
    <mergeCell ref="F397:F398"/>
    <mergeCell ref="F400:F401"/>
    <mergeCell ref="F403:F404"/>
    <mergeCell ref="F406:F407"/>
    <mergeCell ref="F138:F139"/>
    <mergeCell ref="F141:F142"/>
    <mergeCell ref="F144:F145"/>
    <mergeCell ref="F147:F148"/>
    <mergeCell ref="F150:F151"/>
    <mergeCell ref="F153:F154"/>
    <mergeCell ref="F156:F157"/>
    <mergeCell ref="F182:F183"/>
    <mergeCell ref="F111:F112"/>
    <mergeCell ref="F129:F130"/>
    <mergeCell ref="F132:F133"/>
    <mergeCell ref="F135:F136"/>
    <mergeCell ref="F6:F7"/>
    <mergeCell ref="F12:F13"/>
    <mergeCell ref="F18:F19"/>
    <mergeCell ref="F21:F22"/>
    <mergeCell ref="F24:F25"/>
    <mergeCell ref="F27:F28"/>
    <mergeCell ref="F33:F34"/>
    <mergeCell ref="F36:F37"/>
    <mergeCell ref="F39:F40"/>
    <mergeCell ref="F9:F10"/>
    <mergeCell ref="F57:F58"/>
    <mergeCell ref="F60:F61"/>
    <mergeCell ref="F63:F64"/>
    <mergeCell ref="F72:F73"/>
    <mergeCell ref="F75:F76"/>
    <mergeCell ref="F80:F81"/>
    <mergeCell ref="F83:F84"/>
    <mergeCell ref="F48:F49"/>
    <mergeCell ref="F51:F52"/>
    <mergeCell ref="F54:F55"/>
    <mergeCell ref="F66:F67"/>
    <mergeCell ref="F69:F70"/>
    <mergeCell ref="A1:F1"/>
    <mergeCell ref="F86:F87"/>
    <mergeCell ref="F89:F90"/>
    <mergeCell ref="A586:E586"/>
    <mergeCell ref="F159:F160"/>
    <mergeCell ref="F162:F163"/>
    <mergeCell ref="F165:F166"/>
    <mergeCell ref="F168:F169"/>
    <mergeCell ref="F171:F172"/>
    <mergeCell ref="F174:F175"/>
    <mergeCell ref="F177:F178"/>
    <mergeCell ref="F93:F94"/>
    <mergeCell ref="F96:F97"/>
    <mergeCell ref="F99:F100"/>
    <mergeCell ref="F102:F103"/>
    <mergeCell ref="F105:F106"/>
    <mergeCell ref="F108:F109"/>
    <mergeCell ref="F114:F115"/>
    <mergeCell ref="F117:F118"/>
    <mergeCell ref="F120:F121"/>
    <mergeCell ref="F123:F124"/>
    <mergeCell ref="F126:F127"/>
    <mergeCell ref="F42:F43"/>
    <mergeCell ref="F45:F46"/>
  </mergeCells>
  <pageMargins left="0.7" right="0.7" top="0.78740157499999996" bottom="0.78740157499999996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L1254"/>
  <sheetViews>
    <sheetView workbookViewId="0">
      <pane ySplit="1" topLeftCell="A140" activePane="bottomLeft" state="frozen"/>
      <selection pane="bottomLeft" activeCell="C153" sqref="C153"/>
    </sheetView>
  </sheetViews>
  <sheetFormatPr defaultColWidth="14.42578125" defaultRowHeight="15.75" customHeight="1"/>
  <cols>
    <col min="1" max="2" width="17.5703125" customWidth="1"/>
  </cols>
  <sheetData>
    <row r="1" spans="1:64" ht="12.75">
      <c r="A1" s="26" t="s">
        <v>1380</v>
      </c>
      <c r="B1" s="26" t="s">
        <v>1381</v>
      </c>
      <c r="C1" s="27" t="s">
        <v>1382</v>
      </c>
      <c r="D1" s="27"/>
      <c r="E1" s="27" t="s">
        <v>1383</v>
      </c>
      <c r="F1" s="26">
        <v>5</v>
      </c>
      <c r="G1" s="26" t="s">
        <v>1384</v>
      </c>
      <c r="H1" s="27" t="s">
        <v>1385</v>
      </c>
      <c r="I1" s="27" t="s">
        <v>1386</v>
      </c>
      <c r="J1" s="26">
        <v>9</v>
      </c>
      <c r="K1" s="26" t="s">
        <v>1387</v>
      </c>
      <c r="L1" s="27" t="s">
        <v>1388</v>
      </c>
      <c r="M1" s="27" t="s">
        <v>1389</v>
      </c>
      <c r="N1" s="26">
        <v>13</v>
      </c>
      <c r="O1" s="26">
        <v>14</v>
      </c>
      <c r="P1" s="27">
        <v>15</v>
      </c>
      <c r="Q1" s="27">
        <v>16</v>
      </c>
      <c r="R1" s="26" t="s">
        <v>1390</v>
      </c>
      <c r="S1" s="26" t="s">
        <v>1391</v>
      </c>
      <c r="T1" s="27" t="s">
        <v>1392</v>
      </c>
      <c r="U1" s="27">
        <v>20</v>
      </c>
      <c r="V1" s="26">
        <v>21</v>
      </c>
      <c r="W1" s="26" t="s">
        <v>1393</v>
      </c>
      <c r="X1" s="27" t="s">
        <v>1394</v>
      </c>
      <c r="Y1" s="27" t="s">
        <v>1395</v>
      </c>
      <c r="Z1" s="26" t="s">
        <v>1396</v>
      </c>
      <c r="AA1" s="26" t="s">
        <v>1397</v>
      </c>
      <c r="AB1" s="27" t="s">
        <v>1398</v>
      </c>
      <c r="AC1" s="27" t="s">
        <v>1399</v>
      </c>
      <c r="AD1" s="26" t="s">
        <v>1400</v>
      </c>
      <c r="AE1" s="26">
        <v>30</v>
      </c>
      <c r="AF1" s="27">
        <v>31</v>
      </c>
      <c r="AG1" s="27">
        <v>32</v>
      </c>
      <c r="AH1" s="26">
        <v>33</v>
      </c>
      <c r="AI1" s="26">
        <v>34</v>
      </c>
      <c r="AJ1" s="27">
        <v>35</v>
      </c>
      <c r="AK1" s="27">
        <v>36</v>
      </c>
      <c r="AL1" s="26">
        <v>37</v>
      </c>
      <c r="AM1" s="26">
        <v>38</v>
      </c>
      <c r="AN1" s="27">
        <v>39</v>
      </c>
      <c r="AO1" s="27" t="s">
        <v>1401</v>
      </c>
      <c r="AP1" s="26" t="s">
        <v>1402</v>
      </c>
      <c r="AQ1" s="26" t="s">
        <v>1403</v>
      </c>
      <c r="AR1" s="27">
        <v>43</v>
      </c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</row>
    <row r="2" spans="1:64" ht="12.75">
      <c r="A2" s="27" t="s">
        <v>1404</v>
      </c>
      <c r="B2" s="27" t="s">
        <v>1405</v>
      </c>
      <c r="C2" s="27" t="s">
        <v>1406</v>
      </c>
      <c r="D2" s="27"/>
      <c r="E2" s="27" t="e">
        <f>suma</f>
        <v>#NAME?</v>
      </c>
      <c r="F2" s="28">
        <f>SUM(E3+E13+E47+E58+E87+E93+E121+E134+E169+E195+E240+E250)</f>
        <v>5211</v>
      </c>
      <c r="G2" s="27" t="s">
        <v>1407</v>
      </c>
      <c r="H2" s="28">
        <f>SUM(E20+E39+E65+E79+E100+E114+E141+E161+E202+E234+E258+E264)</f>
        <v>10371</v>
      </c>
      <c r="I2" s="27" t="s">
        <v>1408</v>
      </c>
      <c r="J2" s="28">
        <f>F2+H2</f>
        <v>15582</v>
      </c>
      <c r="K2" s="28">
        <f>H2+F2</f>
        <v>15582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</row>
    <row r="3" spans="1:64" ht="12.75">
      <c r="A3" s="29" t="s">
        <v>1409</v>
      </c>
      <c r="B3" s="29"/>
      <c r="C3" s="30"/>
      <c r="D3" s="30"/>
      <c r="E3" s="30">
        <f>SUM(C4:C11)</f>
        <v>1148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</row>
    <row r="4" spans="1:64" ht="23.25" customHeight="1">
      <c r="A4" s="31">
        <v>79</v>
      </c>
      <c r="B4" s="32">
        <v>58</v>
      </c>
      <c r="C4" s="33">
        <v>140</v>
      </c>
      <c r="D4" s="33">
        <f t="shared" ref="D4:D67" si="0">B4</f>
        <v>58</v>
      </c>
      <c r="E4" s="33"/>
      <c r="F4" s="33"/>
      <c r="G4" s="33"/>
      <c r="H4" s="33"/>
      <c r="I4" s="33"/>
      <c r="J4" s="34"/>
      <c r="K4" s="33"/>
      <c r="L4" s="33"/>
      <c r="M4" s="33"/>
      <c r="N4" s="33"/>
      <c r="O4" s="33"/>
      <c r="P4" s="33"/>
      <c r="Q4" s="34"/>
      <c r="R4" s="33" t="s">
        <v>674</v>
      </c>
      <c r="S4" s="33" t="s">
        <v>661</v>
      </c>
      <c r="T4" s="33"/>
      <c r="U4" s="33"/>
      <c r="V4" s="34"/>
      <c r="W4" s="33"/>
      <c r="X4" s="33"/>
      <c r="Y4" s="33"/>
      <c r="Z4" s="35"/>
      <c r="AA4" s="33"/>
      <c r="AB4" s="33"/>
      <c r="AC4" s="33"/>
      <c r="AD4" s="33" t="s">
        <v>759</v>
      </c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3"/>
      <c r="AP4" s="33"/>
      <c r="AQ4" s="33"/>
      <c r="AR4" s="34"/>
      <c r="AS4" s="34"/>
      <c r="AT4" s="34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3"/>
      <c r="BI4" s="37"/>
      <c r="BJ4" s="37"/>
      <c r="BK4" s="37"/>
      <c r="BL4" s="37"/>
    </row>
    <row r="5" spans="1:64" ht="23.25" customHeight="1">
      <c r="A5" s="38">
        <v>22</v>
      </c>
      <c r="B5" s="39">
        <v>59</v>
      </c>
      <c r="C5" s="40">
        <v>141</v>
      </c>
      <c r="D5" s="40">
        <f t="shared" si="0"/>
        <v>59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260</v>
      </c>
      <c r="S5" s="40" t="s">
        <v>261</v>
      </c>
      <c r="T5" s="40"/>
      <c r="U5" s="40"/>
      <c r="V5" s="40"/>
      <c r="W5" s="40"/>
      <c r="X5" s="40"/>
      <c r="Y5" s="40"/>
      <c r="Z5" s="41"/>
      <c r="AA5" s="40"/>
      <c r="AB5" s="40"/>
      <c r="AC5" s="40"/>
      <c r="AD5" s="40" t="s">
        <v>1412</v>
      </c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</row>
    <row r="6" spans="1:64" ht="23.25" customHeight="1">
      <c r="A6" s="42">
        <v>163</v>
      </c>
      <c r="B6" s="43">
        <v>60</v>
      </c>
      <c r="C6" s="44">
        <v>142</v>
      </c>
      <c r="D6" s="44">
        <f t="shared" si="0"/>
        <v>60</v>
      </c>
      <c r="E6" s="44"/>
      <c r="F6" s="44"/>
      <c r="G6" s="44"/>
      <c r="H6" s="44"/>
      <c r="I6" s="44"/>
      <c r="J6" s="45"/>
      <c r="K6" s="44"/>
      <c r="L6" s="44"/>
      <c r="M6" s="44"/>
      <c r="N6" s="45"/>
      <c r="O6" s="44"/>
      <c r="P6" s="44"/>
      <c r="Q6" s="45"/>
      <c r="R6" s="44" t="s">
        <v>171</v>
      </c>
      <c r="S6" s="44" t="s">
        <v>1236</v>
      </c>
      <c r="T6" s="44"/>
      <c r="U6" s="44"/>
      <c r="V6" s="45"/>
      <c r="W6" s="44"/>
      <c r="X6" s="44"/>
      <c r="Y6" s="44"/>
      <c r="Z6" s="46"/>
      <c r="AA6" s="44"/>
      <c r="AB6" s="44"/>
      <c r="AC6" s="44"/>
      <c r="AD6" s="44" t="s">
        <v>1223</v>
      </c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4"/>
      <c r="AP6" s="44"/>
      <c r="AQ6" s="44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</row>
    <row r="7" spans="1:64" ht="23.25" customHeight="1">
      <c r="A7" s="47">
        <v>33</v>
      </c>
      <c r="B7" s="32">
        <v>61</v>
      </c>
      <c r="C7" s="33">
        <v>143</v>
      </c>
      <c r="D7" s="48">
        <f t="shared" si="0"/>
        <v>61</v>
      </c>
      <c r="E7" s="44"/>
      <c r="F7" s="44"/>
      <c r="G7" s="44"/>
      <c r="H7" s="44"/>
      <c r="I7" s="44"/>
      <c r="J7" s="49"/>
      <c r="K7" s="44"/>
      <c r="L7" s="44"/>
      <c r="M7" s="44"/>
      <c r="N7" s="44"/>
      <c r="O7" s="44"/>
      <c r="P7" s="44"/>
      <c r="Q7" s="49"/>
      <c r="R7" s="44" t="s">
        <v>336</v>
      </c>
      <c r="S7" s="44" t="s">
        <v>211</v>
      </c>
      <c r="T7" s="44"/>
      <c r="U7" s="44"/>
      <c r="V7" s="49"/>
      <c r="W7" s="44"/>
      <c r="X7" s="44"/>
      <c r="Y7" s="44"/>
      <c r="Z7" s="46"/>
      <c r="AA7" s="44"/>
      <c r="AB7" s="44"/>
      <c r="AC7" s="44"/>
      <c r="AD7" s="44" t="s">
        <v>1416</v>
      </c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4"/>
      <c r="AP7" s="44"/>
      <c r="AQ7" s="44"/>
      <c r="AR7" s="49"/>
      <c r="AS7" s="49"/>
      <c r="AT7" s="49"/>
      <c r="AU7" s="44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44"/>
      <c r="BI7" s="44"/>
      <c r="BJ7" s="44"/>
      <c r="BK7" s="44"/>
      <c r="BL7" s="44"/>
    </row>
    <row r="8" spans="1:64" ht="23.25" customHeight="1">
      <c r="A8" s="42">
        <v>159</v>
      </c>
      <c r="B8" s="39">
        <v>62</v>
      </c>
      <c r="C8" s="40">
        <v>144</v>
      </c>
      <c r="D8" s="44">
        <f t="shared" si="0"/>
        <v>62</v>
      </c>
      <c r="E8" s="44"/>
      <c r="F8" s="44"/>
      <c r="G8" s="44"/>
      <c r="H8" s="44"/>
      <c r="I8" s="44"/>
      <c r="J8" s="45"/>
      <c r="K8" s="44"/>
      <c r="L8" s="44"/>
      <c r="M8" s="44"/>
      <c r="N8" s="45"/>
      <c r="O8" s="44"/>
      <c r="P8" s="44"/>
      <c r="Q8" s="45"/>
      <c r="R8" s="44" t="s">
        <v>1225</v>
      </c>
      <c r="S8" s="44" t="s">
        <v>1218</v>
      </c>
      <c r="T8" s="44"/>
      <c r="U8" s="44"/>
      <c r="V8" s="45"/>
      <c r="W8" s="44"/>
      <c r="X8" s="44"/>
      <c r="Y8" s="44"/>
      <c r="Z8" s="46"/>
      <c r="AA8" s="44"/>
      <c r="AB8" s="44"/>
      <c r="AC8" s="44"/>
      <c r="AD8" s="44" t="s">
        <v>1223</v>
      </c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4"/>
      <c r="AP8" s="44"/>
      <c r="AQ8" s="44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</row>
    <row r="9" spans="1:64" ht="23.25" customHeight="1">
      <c r="A9" s="31">
        <v>99</v>
      </c>
      <c r="B9" s="43">
        <v>63</v>
      </c>
      <c r="C9" s="44">
        <v>145</v>
      </c>
      <c r="D9" s="48">
        <f t="shared" si="0"/>
        <v>63</v>
      </c>
      <c r="E9" s="48"/>
      <c r="F9" s="48"/>
      <c r="G9" s="48"/>
      <c r="H9" s="48"/>
      <c r="I9" s="48"/>
      <c r="J9" s="51"/>
      <c r="K9" s="48"/>
      <c r="L9" s="48"/>
      <c r="M9" s="48"/>
      <c r="N9" s="48"/>
      <c r="O9" s="48"/>
      <c r="P9" s="48"/>
      <c r="Q9" s="51"/>
      <c r="R9" s="48" t="s">
        <v>787</v>
      </c>
      <c r="S9" s="48" t="s">
        <v>774</v>
      </c>
      <c r="T9" s="48"/>
      <c r="U9" s="48"/>
      <c r="V9" s="51"/>
      <c r="W9" s="48"/>
      <c r="X9" s="48"/>
      <c r="Y9" s="48"/>
      <c r="Z9" s="52"/>
      <c r="AA9" s="48"/>
      <c r="AB9" s="48"/>
      <c r="AC9" s="48"/>
      <c r="AD9" s="48" t="s">
        <v>1419</v>
      </c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48"/>
      <c r="AP9" s="48"/>
      <c r="AQ9" s="48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23.25" customHeight="1">
      <c r="A10" s="31">
        <v>80</v>
      </c>
      <c r="B10" s="32">
        <v>64</v>
      </c>
      <c r="C10" s="33">
        <v>146</v>
      </c>
      <c r="D10" s="48">
        <f t="shared" si="0"/>
        <v>64</v>
      </c>
      <c r="E10" s="48"/>
      <c r="F10" s="48"/>
      <c r="G10" s="48"/>
      <c r="H10" s="48"/>
      <c r="I10" s="48"/>
      <c r="J10" s="53"/>
      <c r="K10" s="48"/>
      <c r="L10" s="48"/>
      <c r="M10" s="48"/>
      <c r="N10" s="48"/>
      <c r="O10" s="48"/>
      <c r="P10" s="48"/>
      <c r="Q10" s="53"/>
      <c r="R10" s="48" t="s">
        <v>1420</v>
      </c>
      <c r="S10" s="48" t="s">
        <v>682</v>
      </c>
      <c r="T10" s="48"/>
      <c r="U10" s="48"/>
      <c r="V10" s="53"/>
      <c r="W10" s="48"/>
      <c r="X10" s="48"/>
      <c r="Y10" s="48"/>
      <c r="Z10" s="52"/>
      <c r="AA10" s="48"/>
      <c r="AB10" s="48"/>
      <c r="AC10" s="48"/>
      <c r="AD10" s="48" t="s">
        <v>1423</v>
      </c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48"/>
      <c r="AP10" s="48"/>
      <c r="AQ10" s="48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48"/>
      <c r="BI10" s="51"/>
      <c r="BJ10" s="51"/>
      <c r="BK10" s="51"/>
      <c r="BL10" s="51"/>
    </row>
    <row r="11" spans="1:64" ht="23.25" customHeight="1">
      <c r="A11" s="31">
        <v>114</v>
      </c>
      <c r="B11" s="39">
        <v>65</v>
      </c>
      <c r="C11" s="40">
        <v>147</v>
      </c>
      <c r="D11" s="48">
        <f t="shared" si="0"/>
        <v>65</v>
      </c>
      <c r="E11" s="48"/>
      <c r="F11" s="48"/>
      <c r="G11" s="48"/>
      <c r="H11" s="48"/>
      <c r="I11" s="54"/>
      <c r="J11" s="51"/>
      <c r="K11" s="48"/>
      <c r="L11" s="48"/>
      <c r="M11" s="48"/>
      <c r="N11" s="48"/>
      <c r="O11" s="48"/>
      <c r="P11" s="48"/>
      <c r="Q11" s="51"/>
      <c r="R11" s="48" t="s">
        <v>889</v>
      </c>
      <c r="S11" s="48" t="s">
        <v>890</v>
      </c>
      <c r="T11" s="48"/>
      <c r="U11" s="48"/>
      <c r="V11" s="51"/>
      <c r="W11" s="48"/>
      <c r="X11" s="48"/>
      <c r="Y11" s="48"/>
      <c r="Z11" s="52"/>
      <c r="AA11" s="48"/>
      <c r="AB11" s="48"/>
      <c r="AC11" s="48"/>
      <c r="AD11" s="48" t="s">
        <v>1424</v>
      </c>
      <c r="AE11" s="51"/>
      <c r="AF11" s="51"/>
      <c r="AG11" s="55"/>
      <c r="AH11" s="51"/>
      <c r="AI11" s="51"/>
      <c r="AJ11" s="55"/>
      <c r="AK11" s="51"/>
      <c r="AL11" s="51"/>
      <c r="AM11" s="48"/>
      <c r="AN11" s="51"/>
      <c r="AO11" s="48"/>
      <c r="AP11" s="48"/>
      <c r="AQ11" s="48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64" ht="12.75">
      <c r="A12" s="27"/>
      <c r="B12" s="27"/>
      <c r="C12" s="28"/>
      <c r="D12" s="28">
        <f t="shared" si="0"/>
        <v>0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</row>
    <row r="13" spans="1:64" ht="12.75">
      <c r="A13" s="29" t="s">
        <v>1425</v>
      </c>
      <c r="B13" s="29"/>
      <c r="C13" s="30"/>
      <c r="D13" s="30">
        <f t="shared" si="0"/>
        <v>0</v>
      </c>
      <c r="E13" s="30">
        <f>SUM(C14:C19)</f>
        <v>148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</row>
    <row r="14" spans="1:64" ht="23.25" customHeight="1">
      <c r="A14" s="42">
        <v>82</v>
      </c>
      <c r="B14" s="39">
        <v>66</v>
      </c>
      <c r="C14" s="56">
        <v>148</v>
      </c>
      <c r="D14" s="56">
        <f t="shared" si="0"/>
        <v>66</v>
      </c>
      <c r="E14" s="56"/>
      <c r="F14" s="56"/>
      <c r="G14" s="56"/>
      <c r="H14" s="56"/>
      <c r="I14" s="57"/>
      <c r="J14" s="58"/>
      <c r="K14" s="56"/>
      <c r="L14" s="56"/>
      <c r="M14" s="56"/>
      <c r="N14" s="56"/>
      <c r="O14" s="56"/>
      <c r="P14" s="56"/>
      <c r="Q14" s="58"/>
      <c r="R14" s="56" t="s">
        <v>696</v>
      </c>
      <c r="S14" s="56" t="s">
        <v>646</v>
      </c>
      <c r="T14" s="56"/>
      <c r="U14" s="56"/>
      <c r="V14" s="58"/>
      <c r="W14" s="56"/>
      <c r="X14" s="56"/>
      <c r="Y14" s="56"/>
      <c r="Z14" s="59"/>
      <c r="AA14" s="56"/>
      <c r="AB14" s="56"/>
      <c r="AC14" s="56"/>
      <c r="AD14" s="56" t="s">
        <v>1428</v>
      </c>
      <c r="AE14" s="58"/>
      <c r="AF14" s="58"/>
      <c r="AG14" s="60"/>
      <c r="AH14" s="60"/>
      <c r="AI14" s="60"/>
      <c r="AJ14" s="60"/>
      <c r="AK14" s="60"/>
      <c r="AL14" s="60"/>
      <c r="AM14" s="56"/>
      <c r="AN14" s="58"/>
      <c r="AO14" s="56"/>
      <c r="AP14" s="56"/>
      <c r="AQ14" s="56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6"/>
      <c r="BI14" s="61"/>
      <c r="BJ14" s="61"/>
      <c r="BK14" s="61"/>
      <c r="BL14" s="61"/>
    </row>
    <row r="15" spans="1:64" ht="12.75">
      <c r="A15" s="27"/>
      <c r="B15" s="27"/>
      <c r="C15" s="28"/>
      <c r="D15" s="28">
        <f t="shared" si="0"/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</row>
    <row r="16" spans="1:64" ht="12.75">
      <c r="A16" s="27"/>
      <c r="B16" s="27"/>
      <c r="C16" s="28"/>
      <c r="D16" s="28">
        <f t="shared" si="0"/>
        <v>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</row>
    <row r="17" spans="1:64" ht="12.75">
      <c r="A17" s="27"/>
      <c r="B17" s="27"/>
      <c r="C17" s="28"/>
      <c r="D17" s="28">
        <f t="shared" si="0"/>
        <v>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</row>
    <row r="18" spans="1:64" ht="12.75">
      <c r="A18" s="27"/>
      <c r="B18" s="27"/>
      <c r="C18" s="28"/>
      <c r="D18" s="28">
        <f t="shared" si="0"/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</row>
    <row r="19" spans="1:64" ht="12.75">
      <c r="A19" s="27"/>
      <c r="B19" s="27"/>
      <c r="C19" s="28"/>
      <c r="D19" s="28">
        <f t="shared" si="0"/>
        <v>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</row>
    <row r="20" spans="1:64" ht="12.75">
      <c r="A20" s="29" t="s">
        <v>1429</v>
      </c>
      <c r="B20" s="29"/>
      <c r="C20" s="30"/>
      <c r="D20" s="29">
        <f t="shared" si="0"/>
        <v>0</v>
      </c>
      <c r="E20" s="29">
        <f>SUM(C21:C36)</f>
        <v>2504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</row>
    <row r="21" spans="1:64" ht="23.25" customHeight="1">
      <c r="A21" s="62">
        <v>23</v>
      </c>
      <c r="B21" s="63">
        <v>83</v>
      </c>
      <c r="C21" s="64">
        <v>149</v>
      </c>
      <c r="D21" s="64">
        <f t="shared" si="0"/>
        <v>83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 t="s">
        <v>264</v>
      </c>
      <c r="S21" s="64" t="s">
        <v>261</v>
      </c>
      <c r="T21" s="64"/>
      <c r="U21" s="64"/>
      <c r="V21" s="64"/>
      <c r="W21" s="64"/>
      <c r="X21" s="64"/>
      <c r="Y21" s="64"/>
      <c r="Z21" s="65"/>
      <c r="AA21" s="64"/>
      <c r="AB21" s="64"/>
      <c r="AC21" s="64"/>
      <c r="AD21" s="64" t="s">
        <v>1412</v>
      </c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</row>
    <row r="22" spans="1:64" ht="23.25" customHeight="1">
      <c r="A22" s="31">
        <v>77</v>
      </c>
      <c r="B22" s="63">
        <v>84</v>
      </c>
      <c r="C22" s="33">
        <v>150</v>
      </c>
      <c r="D22" s="33">
        <f t="shared" si="0"/>
        <v>84</v>
      </c>
      <c r="E22" s="33"/>
      <c r="F22" s="33"/>
      <c r="G22" s="33"/>
      <c r="H22" s="33"/>
      <c r="I22" s="33"/>
      <c r="J22" s="34"/>
      <c r="K22" s="33"/>
      <c r="L22" s="33"/>
      <c r="M22" s="33"/>
      <c r="N22" s="33"/>
      <c r="O22" s="33"/>
      <c r="P22" s="33"/>
      <c r="Q22" s="34"/>
      <c r="R22" s="33" t="s">
        <v>668</v>
      </c>
      <c r="S22" s="33" t="s">
        <v>661</v>
      </c>
      <c r="T22" s="33"/>
      <c r="U22" s="33"/>
      <c r="V22" s="34"/>
      <c r="W22" s="33"/>
      <c r="X22" s="33"/>
      <c r="Y22" s="33"/>
      <c r="Z22" s="35"/>
      <c r="AA22" s="33"/>
      <c r="AB22" s="33"/>
      <c r="AC22" s="33"/>
      <c r="AD22" s="33" t="s">
        <v>759</v>
      </c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66"/>
      <c r="AP22" s="33"/>
      <c r="AQ22" s="33"/>
      <c r="AR22" s="34"/>
      <c r="AS22" s="34"/>
      <c r="AT22" s="34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3"/>
      <c r="BI22" s="37"/>
      <c r="BJ22" s="37"/>
      <c r="BK22" s="37"/>
      <c r="BL22" s="37"/>
    </row>
    <row r="23" spans="1:64" ht="23.25" customHeight="1">
      <c r="A23" s="42">
        <v>86</v>
      </c>
      <c r="B23" s="67">
        <v>85</v>
      </c>
      <c r="C23" s="44">
        <v>151</v>
      </c>
      <c r="D23" s="44">
        <f t="shared" si="0"/>
        <v>85</v>
      </c>
      <c r="E23" s="44"/>
      <c r="F23" s="44"/>
      <c r="G23" s="44"/>
      <c r="H23" s="44"/>
      <c r="I23" s="44"/>
      <c r="J23" s="50"/>
      <c r="K23" s="44"/>
      <c r="L23" s="44"/>
      <c r="M23" s="44"/>
      <c r="N23" s="44"/>
      <c r="O23" s="44"/>
      <c r="P23" s="50"/>
      <c r="Q23" s="50"/>
      <c r="R23" s="44" t="s">
        <v>730</v>
      </c>
      <c r="S23" s="44" t="s">
        <v>560</v>
      </c>
      <c r="T23" s="44"/>
      <c r="U23" s="44"/>
      <c r="V23" s="50"/>
      <c r="W23" s="44"/>
      <c r="X23" s="44"/>
      <c r="Y23" s="44"/>
      <c r="Z23" s="46"/>
      <c r="AA23" s="44"/>
      <c r="AB23" s="44"/>
      <c r="AC23" s="44"/>
      <c r="AD23" s="44" t="s">
        <v>1431</v>
      </c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44"/>
      <c r="AP23" s="44"/>
      <c r="AQ23" s="44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44"/>
      <c r="BI23" s="45"/>
      <c r="BJ23" s="45"/>
      <c r="BK23" s="45"/>
      <c r="BL23" s="45"/>
    </row>
    <row r="24" spans="1:64" ht="23.25" customHeight="1">
      <c r="A24" s="42">
        <v>166</v>
      </c>
      <c r="B24" s="63">
        <v>86</v>
      </c>
      <c r="C24" s="64">
        <v>152</v>
      </c>
      <c r="D24" s="48">
        <f t="shared" si="0"/>
        <v>86</v>
      </c>
      <c r="E24" s="44"/>
      <c r="F24" s="44"/>
      <c r="G24" s="44"/>
      <c r="H24" s="44"/>
      <c r="I24" s="44"/>
      <c r="J24" s="45"/>
      <c r="K24" s="44"/>
      <c r="L24" s="44"/>
      <c r="M24" s="44"/>
      <c r="N24" s="45"/>
      <c r="O24" s="44"/>
      <c r="P24" s="44"/>
      <c r="Q24" s="45"/>
      <c r="R24" s="44" t="s">
        <v>61</v>
      </c>
      <c r="S24" s="44" t="s">
        <v>1236</v>
      </c>
      <c r="T24" s="44"/>
      <c r="U24" s="44"/>
      <c r="V24" s="45"/>
      <c r="W24" s="44"/>
      <c r="X24" s="44"/>
      <c r="Y24" s="44"/>
      <c r="Z24" s="46"/>
      <c r="AA24" s="44"/>
      <c r="AB24" s="44"/>
      <c r="AC24" s="44"/>
      <c r="AD24" s="44" t="s">
        <v>1223</v>
      </c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4"/>
      <c r="AP24" s="44"/>
      <c r="AQ24" s="44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</row>
    <row r="25" spans="1:64" ht="23.25" customHeight="1">
      <c r="A25" s="42">
        <v>134</v>
      </c>
      <c r="B25" s="63">
        <v>87</v>
      </c>
      <c r="C25" s="33">
        <v>153</v>
      </c>
      <c r="D25" s="48">
        <f t="shared" si="0"/>
        <v>87</v>
      </c>
      <c r="E25" s="44"/>
      <c r="F25" s="44"/>
      <c r="G25" s="44"/>
      <c r="H25" s="44"/>
      <c r="I25" s="44"/>
      <c r="J25" s="45"/>
      <c r="K25" s="44"/>
      <c r="L25" s="44"/>
      <c r="M25" s="44"/>
      <c r="N25" s="44"/>
      <c r="O25" s="44"/>
      <c r="P25" s="44"/>
      <c r="Q25" s="45"/>
      <c r="R25" s="44" t="s">
        <v>1061</v>
      </c>
      <c r="S25" s="44" t="s">
        <v>1062</v>
      </c>
      <c r="T25" s="44"/>
      <c r="U25" s="44"/>
      <c r="V25" s="45"/>
      <c r="W25" s="44"/>
      <c r="X25" s="44"/>
      <c r="Y25" s="44"/>
      <c r="Z25" s="46"/>
      <c r="AA25" s="44"/>
      <c r="AB25" s="44"/>
      <c r="AC25" s="44"/>
      <c r="AD25" s="44" t="s">
        <v>1434</v>
      </c>
      <c r="AE25" s="45"/>
      <c r="AF25" s="45"/>
      <c r="AG25" s="68"/>
      <c r="AH25" s="45"/>
      <c r="AI25" s="45"/>
      <c r="AJ25" s="68"/>
      <c r="AK25" s="45"/>
      <c r="AL25" s="45"/>
      <c r="AM25" s="44"/>
      <c r="AN25" s="45"/>
      <c r="AO25" s="48"/>
      <c r="AP25" s="44"/>
      <c r="AQ25" s="44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</row>
    <row r="26" spans="1:64" ht="23.25" customHeight="1">
      <c r="A26" s="42">
        <v>162</v>
      </c>
      <c r="B26" s="63">
        <v>88</v>
      </c>
      <c r="C26" s="44">
        <v>154</v>
      </c>
      <c r="D26" s="44">
        <f t="shared" si="0"/>
        <v>88</v>
      </c>
      <c r="E26" s="44"/>
      <c r="F26" s="44"/>
      <c r="G26" s="44"/>
      <c r="H26" s="44"/>
      <c r="I26" s="44"/>
      <c r="J26" s="45"/>
      <c r="K26" s="44"/>
      <c r="L26" s="44"/>
      <c r="M26" s="44"/>
      <c r="N26" s="45"/>
      <c r="O26" s="44"/>
      <c r="P26" s="44"/>
      <c r="Q26" s="45"/>
      <c r="R26" s="44" t="s">
        <v>1239</v>
      </c>
      <c r="S26" s="44" t="s">
        <v>1218</v>
      </c>
      <c r="T26" s="44"/>
      <c r="U26" s="44"/>
      <c r="V26" s="45"/>
      <c r="W26" s="44"/>
      <c r="X26" s="44"/>
      <c r="Y26" s="44"/>
      <c r="Z26" s="46"/>
      <c r="AA26" s="44"/>
      <c r="AB26" s="44"/>
      <c r="AC26" s="44"/>
      <c r="AD26" s="44" t="s">
        <v>1223</v>
      </c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4"/>
      <c r="AP26" s="44"/>
      <c r="AQ26" s="44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64" ht="23.25" customHeight="1">
      <c r="A27" s="69">
        <v>50</v>
      </c>
      <c r="B27" s="67">
        <v>89</v>
      </c>
      <c r="C27" s="64">
        <v>155</v>
      </c>
      <c r="D27" s="70">
        <f t="shared" si="0"/>
        <v>89</v>
      </c>
      <c r="E27" s="71"/>
      <c r="F27" s="71"/>
      <c r="G27" s="71"/>
      <c r="H27" s="71"/>
      <c r="I27" s="72"/>
      <c r="J27" s="73"/>
      <c r="K27" s="71"/>
      <c r="L27" s="71"/>
      <c r="M27" s="71"/>
      <c r="N27" s="71"/>
      <c r="O27" s="73"/>
      <c r="P27" s="71"/>
      <c r="Q27" s="73"/>
      <c r="R27" s="71" t="s">
        <v>451</v>
      </c>
      <c r="S27" s="71" t="s">
        <v>433</v>
      </c>
      <c r="T27" s="71"/>
      <c r="U27" s="71"/>
      <c r="V27" s="73"/>
      <c r="W27" s="71"/>
      <c r="X27" s="71"/>
      <c r="Y27" s="71"/>
      <c r="Z27" s="72"/>
      <c r="AA27" s="71"/>
      <c r="AB27" s="71"/>
      <c r="AC27" s="71"/>
      <c r="AD27" s="71" t="s">
        <v>1437</v>
      </c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1"/>
      <c r="AP27" s="71"/>
      <c r="AQ27" s="71"/>
      <c r="AR27" s="73"/>
      <c r="AS27" s="73"/>
      <c r="AT27" s="73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1"/>
      <c r="BI27" s="75"/>
      <c r="BJ27" s="75"/>
      <c r="BK27" s="75"/>
      <c r="BL27" s="75"/>
    </row>
    <row r="28" spans="1:64" ht="23.25" customHeight="1">
      <c r="A28" s="69">
        <v>44</v>
      </c>
      <c r="B28" s="63">
        <v>90</v>
      </c>
      <c r="C28" s="33">
        <v>156</v>
      </c>
      <c r="D28" s="48">
        <f t="shared" si="0"/>
        <v>90</v>
      </c>
      <c r="E28" s="44"/>
      <c r="F28" s="44"/>
      <c r="G28" s="44"/>
      <c r="H28" s="44"/>
      <c r="I28" s="44"/>
      <c r="J28" s="49"/>
      <c r="K28" s="44"/>
      <c r="L28" s="44"/>
      <c r="M28" s="44"/>
      <c r="N28" s="44"/>
      <c r="O28" s="44"/>
      <c r="P28" s="44"/>
      <c r="Q28" s="49"/>
      <c r="R28" s="44" t="s">
        <v>417</v>
      </c>
      <c r="S28" s="44" t="s">
        <v>418</v>
      </c>
      <c r="T28" s="44"/>
      <c r="U28" s="44"/>
      <c r="V28" s="49"/>
      <c r="W28" s="44"/>
      <c r="X28" s="44"/>
      <c r="Y28" s="44"/>
      <c r="Z28" s="46"/>
      <c r="AA28" s="44"/>
      <c r="AB28" s="44"/>
      <c r="AC28" s="44"/>
      <c r="AD28" s="44" t="s">
        <v>1439</v>
      </c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4"/>
      <c r="AP28" s="44"/>
      <c r="AQ28" s="44"/>
      <c r="AR28" s="49"/>
      <c r="AS28" s="49"/>
      <c r="AT28" s="49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44"/>
      <c r="BI28" s="44"/>
      <c r="BJ28" s="44"/>
      <c r="BK28" s="44"/>
      <c r="BL28" s="44"/>
    </row>
    <row r="29" spans="1:64" ht="23.25" customHeight="1">
      <c r="A29" s="31">
        <v>135</v>
      </c>
      <c r="B29" s="63">
        <v>91</v>
      </c>
      <c r="C29" s="44">
        <v>157</v>
      </c>
      <c r="D29" s="48">
        <f t="shared" si="0"/>
        <v>91</v>
      </c>
      <c r="E29" s="48"/>
      <c r="F29" s="48"/>
      <c r="G29" s="48"/>
      <c r="H29" s="48"/>
      <c r="I29" s="54"/>
      <c r="J29" s="51"/>
      <c r="K29" s="48"/>
      <c r="L29" s="48"/>
      <c r="M29" s="48"/>
      <c r="N29" s="48"/>
      <c r="O29" s="48"/>
      <c r="P29" s="48"/>
      <c r="Q29" s="51"/>
      <c r="R29" s="48" t="s">
        <v>1072</v>
      </c>
      <c r="S29" s="48" t="s">
        <v>1073</v>
      </c>
      <c r="T29" s="48"/>
      <c r="U29" s="48"/>
      <c r="V29" s="51"/>
      <c r="W29" s="48"/>
      <c r="X29" s="48"/>
      <c r="Y29" s="48"/>
      <c r="Z29" s="52"/>
      <c r="AA29" s="48"/>
      <c r="AB29" s="48"/>
      <c r="AC29" s="48"/>
      <c r="AD29" s="48" t="s">
        <v>1173</v>
      </c>
      <c r="AE29" s="51"/>
      <c r="AF29" s="55"/>
      <c r="AG29" s="55"/>
      <c r="AH29" s="55"/>
      <c r="AI29" s="55"/>
      <c r="AJ29" s="55"/>
      <c r="AK29" s="51"/>
      <c r="AL29" s="55"/>
      <c r="AM29" s="48"/>
      <c r="AN29" s="51"/>
      <c r="AO29" s="48"/>
      <c r="AP29" s="48"/>
      <c r="AQ29" s="48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</row>
    <row r="30" spans="1:64" ht="23.25" customHeight="1">
      <c r="A30" s="31">
        <v>120</v>
      </c>
      <c r="B30" s="63">
        <v>92</v>
      </c>
      <c r="C30" s="64">
        <v>158</v>
      </c>
      <c r="D30" s="48">
        <f t="shared" si="0"/>
        <v>92</v>
      </c>
      <c r="E30" s="48"/>
      <c r="F30" s="48"/>
      <c r="G30" s="48"/>
      <c r="H30" s="48"/>
      <c r="I30" s="48"/>
      <c r="J30" s="51"/>
      <c r="K30" s="48"/>
      <c r="L30" s="48"/>
      <c r="M30" s="48"/>
      <c r="N30" s="48"/>
      <c r="O30" s="48"/>
      <c r="P30" s="48"/>
      <c r="Q30" s="51"/>
      <c r="R30" s="48" t="s">
        <v>941</v>
      </c>
      <c r="S30" s="48" t="s">
        <v>591</v>
      </c>
      <c r="T30" s="48"/>
      <c r="U30" s="48"/>
      <c r="V30" s="51"/>
      <c r="W30" s="48"/>
      <c r="X30" s="48"/>
      <c r="Y30" s="48"/>
      <c r="Z30" s="52"/>
      <c r="AA30" s="48"/>
      <c r="AB30" s="48"/>
      <c r="AC30" s="48"/>
      <c r="AD30" s="48" t="s">
        <v>1441</v>
      </c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48"/>
      <c r="AP30" s="48"/>
      <c r="AQ30" s="48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</row>
    <row r="31" spans="1:64" ht="23.25" customHeight="1">
      <c r="A31" s="31">
        <v>164</v>
      </c>
      <c r="B31" s="67">
        <v>93</v>
      </c>
      <c r="C31" s="33">
        <v>159</v>
      </c>
      <c r="D31" s="48">
        <f t="shared" si="0"/>
        <v>93</v>
      </c>
      <c r="E31" s="48"/>
      <c r="F31" s="48"/>
      <c r="G31" s="48"/>
      <c r="H31" s="48"/>
      <c r="I31" s="48"/>
      <c r="J31" s="51"/>
      <c r="K31" s="48"/>
      <c r="L31" s="48"/>
      <c r="M31" s="48"/>
      <c r="N31" s="51"/>
      <c r="O31" s="48"/>
      <c r="P31" s="48"/>
      <c r="Q31" s="51"/>
      <c r="R31" s="48" t="s">
        <v>1244</v>
      </c>
      <c r="S31" s="48" t="s">
        <v>1218</v>
      </c>
      <c r="T31" s="48"/>
      <c r="U31" s="48"/>
      <c r="V31" s="51"/>
      <c r="W31" s="48"/>
      <c r="X31" s="48"/>
      <c r="Y31" s="48"/>
      <c r="Z31" s="52"/>
      <c r="AA31" s="48"/>
      <c r="AB31" s="48"/>
      <c r="AC31" s="48"/>
      <c r="AD31" s="48" t="s">
        <v>1223</v>
      </c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48"/>
      <c r="AP31" s="48"/>
      <c r="AQ31" s="48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</row>
    <row r="32" spans="1:64" ht="23.25" customHeight="1">
      <c r="A32" s="31">
        <v>98</v>
      </c>
      <c r="B32" s="63">
        <v>94</v>
      </c>
      <c r="C32" s="44">
        <v>160</v>
      </c>
      <c r="D32" s="48">
        <f t="shared" si="0"/>
        <v>94</v>
      </c>
      <c r="E32" s="48"/>
      <c r="F32" s="48"/>
      <c r="G32" s="48"/>
      <c r="H32" s="48"/>
      <c r="I32" s="48"/>
      <c r="J32" s="51"/>
      <c r="K32" s="48"/>
      <c r="L32" s="48"/>
      <c r="M32" s="48"/>
      <c r="N32" s="48"/>
      <c r="O32" s="48"/>
      <c r="P32" s="48"/>
      <c r="Q32" s="51"/>
      <c r="R32" s="48" t="s">
        <v>784</v>
      </c>
      <c r="S32" s="48" t="s">
        <v>774</v>
      </c>
      <c r="T32" s="48"/>
      <c r="U32" s="48"/>
      <c r="V32" s="51"/>
      <c r="W32" s="48"/>
      <c r="X32" s="48"/>
      <c r="Y32" s="48"/>
      <c r="Z32" s="52"/>
      <c r="AA32" s="48"/>
      <c r="AB32" s="48"/>
      <c r="AC32" s="48"/>
      <c r="AD32" s="48" t="s">
        <v>1419</v>
      </c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48"/>
      <c r="AP32" s="48"/>
      <c r="AQ32" s="48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64" ht="23.25" customHeight="1">
      <c r="A33" s="31">
        <v>102</v>
      </c>
      <c r="B33" s="63">
        <v>95</v>
      </c>
      <c r="C33" s="64">
        <v>161</v>
      </c>
      <c r="D33" s="48">
        <f t="shared" si="0"/>
        <v>95</v>
      </c>
      <c r="E33" s="48"/>
      <c r="F33" s="48"/>
      <c r="G33" s="48"/>
      <c r="H33" s="48"/>
      <c r="I33" s="48"/>
      <c r="J33" s="51"/>
      <c r="K33" s="48"/>
      <c r="L33" s="48"/>
      <c r="M33" s="48"/>
      <c r="N33" s="48"/>
      <c r="O33" s="48"/>
      <c r="P33" s="48"/>
      <c r="Q33" s="51"/>
      <c r="R33" s="48" t="s">
        <v>806</v>
      </c>
      <c r="S33" s="48" t="s">
        <v>801</v>
      </c>
      <c r="T33" s="48"/>
      <c r="U33" s="48"/>
      <c r="V33" s="51"/>
      <c r="W33" s="48"/>
      <c r="X33" s="48"/>
      <c r="Y33" s="48"/>
      <c r="Z33" s="52"/>
      <c r="AA33" s="48"/>
      <c r="AB33" s="48"/>
      <c r="AC33" s="48"/>
      <c r="AD33" s="48" t="s">
        <v>1443</v>
      </c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48"/>
      <c r="AP33" s="48"/>
      <c r="AQ33" s="48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</row>
    <row r="34" spans="1:64" ht="23.25" customHeight="1">
      <c r="A34" s="31">
        <v>115</v>
      </c>
      <c r="B34" s="63">
        <v>96</v>
      </c>
      <c r="C34" s="33">
        <v>162</v>
      </c>
      <c r="D34" s="48">
        <f t="shared" si="0"/>
        <v>96</v>
      </c>
      <c r="E34" s="48"/>
      <c r="F34" s="48"/>
      <c r="G34" s="48"/>
      <c r="H34" s="48"/>
      <c r="I34" s="54"/>
      <c r="J34" s="51"/>
      <c r="K34" s="48"/>
      <c r="L34" s="48"/>
      <c r="M34" s="48"/>
      <c r="N34" s="48"/>
      <c r="O34" s="48"/>
      <c r="P34" s="48"/>
      <c r="Q34" s="51"/>
      <c r="R34" s="48" t="s">
        <v>895</v>
      </c>
      <c r="S34" s="48" t="s">
        <v>896</v>
      </c>
      <c r="T34" s="48"/>
      <c r="U34" s="48"/>
      <c r="V34" s="51"/>
      <c r="W34" s="48"/>
      <c r="X34" s="48"/>
      <c r="Y34" s="48"/>
      <c r="Z34" s="52"/>
      <c r="AA34" s="48"/>
      <c r="AB34" s="48"/>
      <c r="AC34" s="48"/>
      <c r="AD34" s="48" t="s">
        <v>1424</v>
      </c>
      <c r="AE34" s="51"/>
      <c r="AF34" s="51"/>
      <c r="AG34" s="55"/>
      <c r="AH34" s="51"/>
      <c r="AI34" s="51"/>
      <c r="AJ34" s="55"/>
      <c r="AK34" s="51"/>
      <c r="AL34" s="51"/>
      <c r="AM34" s="48"/>
      <c r="AN34" s="51"/>
      <c r="AO34" s="48"/>
      <c r="AP34" s="48"/>
      <c r="AQ34" s="48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</row>
    <row r="35" spans="1:64" ht="23.25" customHeight="1">
      <c r="A35" s="62">
        <v>6</v>
      </c>
      <c r="B35" s="67">
        <v>97</v>
      </c>
      <c r="C35" s="44">
        <v>163</v>
      </c>
      <c r="D35" s="64">
        <f t="shared" si="0"/>
        <v>97</v>
      </c>
      <c r="E35" s="64"/>
      <c r="F35" s="64"/>
      <c r="G35" s="64"/>
      <c r="H35" s="64"/>
      <c r="I35" s="76"/>
      <c r="J35" s="64"/>
      <c r="K35" s="27"/>
      <c r="L35" s="64"/>
      <c r="M35" s="64"/>
      <c r="N35" s="64"/>
      <c r="O35" s="64"/>
      <c r="P35" s="27"/>
      <c r="Q35" s="64"/>
      <c r="R35" s="64" t="s">
        <v>1444</v>
      </c>
      <c r="S35" s="64" t="s">
        <v>266</v>
      </c>
      <c r="T35" s="64"/>
      <c r="U35" s="64"/>
      <c r="V35" s="64"/>
      <c r="W35" s="77"/>
      <c r="X35" s="78"/>
      <c r="Y35" s="64"/>
      <c r="Z35" s="65"/>
      <c r="AA35" s="64"/>
      <c r="AB35" s="64"/>
      <c r="AC35" s="64"/>
      <c r="AD35" s="64" t="s">
        <v>1447</v>
      </c>
      <c r="AE35" s="64"/>
      <c r="AF35" s="79"/>
      <c r="AG35" s="79"/>
      <c r="AH35" s="64"/>
      <c r="AI35" s="64"/>
      <c r="AJ35" s="79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64" ht="23.25" customHeight="1">
      <c r="A36" s="31">
        <v>148</v>
      </c>
      <c r="B36" s="63">
        <v>98</v>
      </c>
      <c r="C36" s="64">
        <v>164</v>
      </c>
      <c r="D36" s="48">
        <f t="shared" si="0"/>
        <v>98</v>
      </c>
      <c r="E36" s="48"/>
      <c r="F36" s="48"/>
      <c r="G36" s="48"/>
      <c r="H36" s="48"/>
      <c r="I36" s="48"/>
      <c r="J36" s="51"/>
      <c r="K36" s="48"/>
      <c r="L36" s="48"/>
      <c r="M36" s="48"/>
      <c r="N36" s="48"/>
      <c r="O36" s="48"/>
      <c r="P36" s="48"/>
      <c r="Q36" s="51"/>
      <c r="R36" s="48" t="s">
        <v>1136</v>
      </c>
      <c r="S36" s="48" t="s">
        <v>266</v>
      </c>
      <c r="T36" s="48"/>
      <c r="U36" s="48"/>
      <c r="V36" s="51"/>
      <c r="W36" s="48"/>
      <c r="X36" s="48"/>
      <c r="Y36" s="48"/>
      <c r="Z36" s="52"/>
      <c r="AA36" s="48"/>
      <c r="AB36" s="48"/>
      <c r="AC36" s="48"/>
      <c r="AD36" s="48" t="s">
        <v>1448</v>
      </c>
      <c r="AE36" s="51"/>
      <c r="AF36" s="51"/>
      <c r="AG36" s="55"/>
      <c r="AH36" s="55"/>
      <c r="AI36" s="51"/>
      <c r="AJ36" s="55"/>
      <c r="AK36" s="51"/>
      <c r="AL36" s="51"/>
      <c r="AM36" s="48"/>
      <c r="AN36" s="51"/>
      <c r="AO36" s="48"/>
      <c r="AP36" s="48"/>
      <c r="AQ36" s="48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64" ht="12.75">
      <c r="A37" s="27"/>
      <c r="B37" s="27"/>
      <c r="C37" s="28"/>
      <c r="D37" s="28">
        <f t="shared" si="0"/>
        <v>0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</row>
    <row r="38" spans="1:64" ht="12.75">
      <c r="A38" s="27"/>
      <c r="B38" s="27"/>
      <c r="C38" s="28"/>
      <c r="D38" s="28">
        <f t="shared" si="0"/>
        <v>0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</row>
    <row r="39" spans="1:64" ht="12.75">
      <c r="A39" s="29" t="s">
        <v>1449</v>
      </c>
      <c r="B39" s="29"/>
      <c r="C39" s="30"/>
      <c r="D39" s="30">
        <f t="shared" si="0"/>
        <v>0</v>
      </c>
      <c r="E39" s="30">
        <f>SUM(C40:C46)</f>
        <v>331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</row>
    <row r="40" spans="1:64" ht="23.25" customHeight="1">
      <c r="A40" s="42">
        <v>73</v>
      </c>
      <c r="B40" s="67">
        <v>99</v>
      </c>
      <c r="C40" s="40">
        <v>165</v>
      </c>
      <c r="D40" s="40">
        <f t="shared" si="0"/>
        <v>99</v>
      </c>
      <c r="E40" s="40"/>
      <c r="F40" s="40"/>
      <c r="G40" s="40"/>
      <c r="H40" s="40"/>
      <c r="I40" s="41"/>
      <c r="J40" s="80"/>
      <c r="K40" s="40"/>
      <c r="L40" s="40"/>
      <c r="M40" s="40"/>
      <c r="N40" s="40"/>
      <c r="O40" s="40"/>
      <c r="P40" s="40"/>
      <c r="Q40" s="80"/>
      <c r="R40" s="40" t="s">
        <v>645</v>
      </c>
      <c r="S40" s="40" t="s">
        <v>646</v>
      </c>
      <c r="T40" s="40"/>
      <c r="U40" s="40"/>
      <c r="V40" s="40"/>
      <c r="W40" s="40"/>
      <c r="X40" s="40"/>
      <c r="Y40" s="40"/>
      <c r="Z40" s="41"/>
      <c r="AA40" s="40"/>
      <c r="AB40" s="40"/>
      <c r="AC40" s="40"/>
      <c r="AD40" s="81" t="s">
        <v>1450</v>
      </c>
      <c r="AE40" s="80"/>
      <c r="AF40" s="80"/>
      <c r="AG40" s="82"/>
      <c r="AH40" s="82"/>
      <c r="AI40" s="82"/>
      <c r="AJ40" s="82"/>
      <c r="AK40" s="82"/>
      <c r="AL40" s="82"/>
      <c r="AM40" s="40"/>
      <c r="AN40" s="80"/>
      <c r="AO40" s="40"/>
      <c r="AP40" s="40"/>
      <c r="AQ40" s="40"/>
      <c r="AR40" s="80"/>
      <c r="AS40" s="80"/>
      <c r="AT40" s="80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40"/>
      <c r="BI40" s="84"/>
      <c r="BJ40" s="84"/>
      <c r="BK40" s="84"/>
      <c r="BL40" s="84"/>
    </row>
    <row r="41" spans="1:64" ht="23.25" customHeight="1">
      <c r="A41" s="31">
        <v>136</v>
      </c>
      <c r="B41" s="63">
        <v>100</v>
      </c>
      <c r="C41" s="48">
        <v>166</v>
      </c>
      <c r="D41" s="48">
        <f t="shared" si="0"/>
        <v>100</v>
      </c>
      <c r="E41" s="48"/>
      <c r="F41" s="48"/>
      <c r="G41" s="48"/>
      <c r="H41" s="48"/>
      <c r="I41" s="54"/>
      <c r="J41" s="51"/>
      <c r="K41" s="48"/>
      <c r="L41" s="48"/>
      <c r="M41" s="48"/>
      <c r="N41" s="48"/>
      <c r="O41" s="48"/>
      <c r="P41" s="48"/>
      <c r="Q41" s="51"/>
      <c r="R41" s="48" t="s">
        <v>1075</v>
      </c>
      <c r="S41" s="48" t="s">
        <v>1073</v>
      </c>
      <c r="T41" s="48"/>
      <c r="U41" s="48"/>
      <c r="V41" s="51"/>
      <c r="W41" s="48"/>
      <c r="X41" s="48"/>
      <c r="Y41" s="48"/>
      <c r="Z41" s="52"/>
      <c r="AA41" s="48"/>
      <c r="AB41" s="48"/>
      <c r="AC41" s="48"/>
      <c r="AD41" s="66" t="s">
        <v>1173</v>
      </c>
      <c r="AE41" s="51"/>
      <c r="AF41" s="51"/>
      <c r="AG41" s="55"/>
      <c r="AH41" s="51"/>
      <c r="AI41" s="51"/>
      <c r="AJ41" s="55"/>
      <c r="AK41" s="51"/>
      <c r="AL41" s="51"/>
      <c r="AM41" s="48"/>
      <c r="AN41" s="51"/>
      <c r="AO41" s="48"/>
      <c r="AP41" s="48"/>
      <c r="AQ41" s="48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64" ht="12.75">
      <c r="A42" s="27"/>
      <c r="B42" s="27"/>
      <c r="C42" s="28"/>
      <c r="D42" s="28">
        <f t="shared" si="0"/>
        <v>0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</row>
    <row r="43" spans="1:64" ht="12.75">
      <c r="A43" s="27"/>
      <c r="B43" s="27"/>
      <c r="C43" s="28"/>
      <c r="D43" s="28">
        <f t="shared" si="0"/>
        <v>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</row>
    <row r="44" spans="1:64" ht="12.75">
      <c r="A44" s="27"/>
      <c r="B44" s="27"/>
      <c r="C44" s="28"/>
      <c r="D44" s="28">
        <f t="shared" si="0"/>
        <v>0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</row>
    <row r="45" spans="1:64" ht="12.75">
      <c r="A45" s="27"/>
      <c r="B45" s="27"/>
      <c r="C45" s="28"/>
      <c r="D45" s="28">
        <f t="shared" si="0"/>
        <v>0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</row>
    <row r="46" spans="1:64" ht="12.75">
      <c r="A46" s="27"/>
      <c r="B46" s="27"/>
      <c r="C46" s="28"/>
      <c r="D46" s="28">
        <f t="shared" si="0"/>
        <v>0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</row>
    <row r="47" spans="1:64" ht="12.75">
      <c r="A47" s="29" t="s">
        <v>1451</v>
      </c>
      <c r="B47" s="29"/>
      <c r="C47" s="30"/>
      <c r="D47" s="30">
        <f t="shared" si="0"/>
        <v>0</v>
      </c>
      <c r="E47" s="30">
        <f>SUM(C48:C57)</f>
        <v>948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</row>
    <row r="48" spans="1:64" ht="23.25" customHeight="1">
      <c r="A48" s="85">
        <v>63</v>
      </c>
      <c r="B48" s="32">
        <v>48</v>
      </c>
      <c r="C48" s="64">
        <v>115</v>
      </c>
      <c r="D48" s="64">
        <f t="shared" si="0"/>
        <v>48</v>
      </c>
      <c r="E48" s="64"/>
      <c r="F48" s="64"/>
      <c r="G48" s="64"/>
      <c r="H48" s="64"/>
      <c r="I48" s="65"/>
      <c r="J48" s="86"/>
      <c r="K48" s="64"/>
      <c r="L48" s="64"/>
      <c r="M48" s="64"/>
      <c r="N48" s="64"/>
      <c r="O48" s="64"/>
      <c r="P48" s="64"/>
      <c r="Q48" s="86"/>
      <c r="R48" s="64" t="s">
        <v>559</v>
      </c>
      <c r="S48" s="64" t="s">
        <v>560</v>
      </c>
      <c r="T48" s="64"/>
      <c r="U48" s="64"/>
      <c r="V48" s="86"/>
      <c r="W48" s="64"/>
      <c r="X48" s="64"/>
      <c r="Y48" s="64"/>
      <c r="Z48" s="65"/>
      <c r="AA48" s="64"/>
      <c r="AB48" s="64"/>
      <c r="AC48" s="64"/>
      <c r="AD48" s="64" t="s">
        <v>1453</v>
      </c>
      <c r="AE48" s="86"/>
      <c r="AF48" s="86"/>
      <c r="AG48" s="87"/>
      <c r="AH48" s="87"/>
      <c r="AI48" s="86"/>
      <c r="AJ48" s="87"/>
      <c r="AK48" s="87"/>
      <c r="AL48" s="86"/>
      <c r="AM48" s="64"/>
      <c r="AN48" s="86"/>
      <c r="AO48" s="64"/>
      <c r="AP48" s="64"/>
      <c r="AQ48" s="64"/>
      <c r="AR48" s="86"/>
      <c r="AS48" s="86"/>
      <c r="AT48" s="86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64"/>
      <c r="BI48" s="89"/>
      <c r="BJ48" s="89"/>
      <c r="BK48" s="89"/>
      <c r="BL48" s="89"/>
    </row>
    <row r="49" spans="1:64" ht="23.25" customHeight="1">
      <c r="A49" s="85">
        <v>68</v>
      </c>
      <c r="B49" s="32">
        <v>49</v>
      </c>
      <c r="C49" s="64">
        <v>116</v>
      </c>
      <c r="D49" s="64">
        <f t="shared" si="0"/>
        <v>49</v>
      </c>
      <c r="E49" s="64"/>
      <c r="F49" s="64"/>
      <c r="G49" s="64"/>
      <c r="H49" s="64"/>
      <c r="I49" s="90"/>
      <c r="J49" s="86"/>
      <c r="K49" s="64"/>
      <c r="L49" s="64"/>
      <c r="M49" s="64"/>
      <c r="N49" s="64"/>
      <c r="O49" s="64"/>
      <c r="P49" s="64"/>
      <c r="Q49" s="86"/>
      <c r="R49" s="64" t="s">
        <v>598</v>
      </c>
      <c r="S49" s="64" t="s">
        <v>591</v>
      </c>
      <c r="T49" s="64"/>
      <c r="U49" s="64"/>
      <c r="V49" s="86"/>
      <c r="W49" s="64"/>
      <c r="X49" s="64"/>
      <c r="Y49" s="64"/>
      <c r="Z49" s="65"/>
      <c r="AA49" s="64"/>
      <c r="AB49" s="64"/>
      <c r="AC49" s="64"/>
      <c r="AD49" s="64" t="s">
        <v>1457</v>
      </c>
      <c r="AE49" s="86"/>
      <c r="AF49" s="86"/>
      <c r="AG49" s="87"/>
      <c r="AH49" s="87"/>
      <c r="AI49" s="86"/>
      <c r="AJ49" s="87"/>
      <c r="AK49" s="87"/>
      <c r="AL49" s="87"/>
      <c r="AM49" s="64"/>
      <c r="AN49" s="86"/>
      <c r="AO49" s="64"/>
      <c r="AP49" s="64"/>
      <c r="AQ49" s="64"/>
      <c r="AR49" s="86"/>
      <c r="AS49" s="86"/>
      <c r="AT49" s="86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64"/>
      <c r="BI49" s="89"/>
      <c r="BJ49" s="89"/>
      <c r="BK49" s="89"/>
      <c r="BL49" s="89"/>
    </row>
    <row r="50" spans="1:64" ht="23.25" customHeight="1">
      <c r="A50" s="38">
        <v>10</v>
      </c>
      <c r="B50" s="39">
        <v>50</v>
      </c>
      <c r="C50" s="40">
        <v>117</v>
      </c>
      <c r="D50" s="40">
        <f t="shared" si="0"/>
        <v>50</v>
      </c>
      <c r="E50" s="40"/>
      <c r="F50" s="40"/>
      <c r="G50" s="40"/>
      <c r="H50" s="40"/>
      <c r="I50" s="91"/>
      <c r="J50" s="40"/>
      <c r="K50" s="92"/>
      <c r="L50" s="40"/>
      <c r="M50" s="40"/>
      <c r="N50" s="40"/>
      <c r="O50" s="40"/>
      <c r="P50" s="92"/>
      <c r="Q50" s="40"/>
      <c r="R50" s="40" t="s">
        <v>142</v>
      </c>
      <c r="S50" s="40" t="s">
        <v>138</v>
      </c>
      <c r="T50" s="40"/>
      <c r="U50" s="40"/>
      <c r="V50" s="40"/>
      <c r="W50" s="93"/>
      <c r="X50" s="94"/>
      <c r="Y50" s="40"/>
      <c r="Z50" s="41"/>
      <c r="AA50" s="40"/>
      <c r="AB50" s="40"/>
      <c r="AC50" s="40"/>
      <c r="AD50" s="40" t="s">
        <v>1459</v>
      </c>
      <c r="AE50" s="40"/>
      <c r="AF50" s="40"/>
      <c r="AG50" s="95"/>
      <c r="AH50" s="40"/>
      <c r="AI50" s="40"/>
      <c r="AJ50" s="95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</row>
    <row r="51" spans="1:64" ht="23.25" customHeight="1">
      <c r="A51" s="38">
        <v>15</v>
      </c>
      <c r="B51" s="32">
        <v>51</v>
      </c>
      <c r="C51" s="64">
        <v>118</v>
      </c>
      <c r="D51" s="64">
        <f t="shared" si="0"/>
        <v>51</v>
      </c>
      <c r="E51" s="40"/>
      <c r="F51" s="40"/>
      <c r="G51" s="40"/>
      <c r="H51" s="40"/>
      <c r="I51" s="96"/>
      <c r="J51" s="40"/>
      <c r="K51" s="40"/>
      <c r="L51" s="40"/>
      <c r="M51" s="40"/>
      <c r="N51" s="40"/>
      <c r="O51" s="40"/>
      <c r="P51" s="40"/>
      <c r="Q51" s="40"/>
      <c r="R51" s="40" t="s">
        <v>185</v>
      </c>
      <c r="S51" s="40" t="s">
        <v>186</v>
      </c>
      <c r="T51" s="40"/>
      <c r="U51" s="40"/>
      <c r="V51" s="40"/>
      <c r="W51" s="40"/>
      <c r="X51" s="40"/>
      <c r="Y51" s="40"/>
      <c r="Z51" s="41"/>
      <c r="AA51" s="40"/>
      <c r="AB51" s="40"/>
      <c r="AC51" s="40"/>
      <c r="AD51" s="40" t="s">
        <v>1461</v>
      </c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</row>
    <row r="52" spans="1:64" ht="23.25" customHeight="1">
      <c r="A52" s="47">
        <v>40</v>
      </c>
      <c r="B52" s="32">
        <v>52</v>
      </c>
      <c r="C52" s="64">
        <v>119</v>
      </c>
      <c r="D52" s="64">
        <f t="shared" si="0"/>
        <v>52</v>
      </c>
      <c r="E52" s="40"/>
      <c r="F52" s="40"/>
      <c r="G52" s="40"/>
      <c r="H52" s="40"/>
      <c r="I52" s="40"/>
      <c r="J52" s="80"/>
      <c r="K52" s="40"/>
      <c r="L52" s="40"/>
      <c r="M52" s="40"/>
      <c r="N52" s="40"/>
      <c r="O52" s="40"/>
      <c r="P52" s="40"/>
      <c r="Q52" s="80"/>
      <c r="R52" s="40" t="s">
        <v>388</v>
      </c>
      <c r="S52" s="40" t="s">
        <v>77</v>
      </c>
      <c r="T52" s="40"/>
      <c r="U52" s="40"/>
      <c r="V52" s="80"/>
      <c r="W52" s="40"/>
      <c r="X52" s="40"/>
      <c r="Y52" s="40"/>
      <c r="Z52" s="41"/>
      <c r="AA52" s="40"/>
      <c r="AB52" s="40"/>
      <c r="AC52" s="40"/>
      <c r="AD52" s="40" t="s">
        <v>1463</v>
      </c>
      <c r="AE52" s="80"/>
      <c r="AF52" s="80"/>
      <c r="AG52" s="82"/>
      <c r="AH52" s="82"/>
      <c r="AI52" s="80"/>
      <c r="AJ52" s="82"/>
      <c r="AK52" s="80"/>
      <c r="AL52" s="80"/>
      <c r="AM52" s="40"/>
      <c r="AN52" s="80"/>
      <c r="AO52" s="40"/>
      <c r="AP52" s="40"/>
      <c r="AQ52" s="40"/>
      <c r="AR52" s="80"/>
      <c r="AS52" s="80"/>
      <c r="AT52" s="80"/>
      <c r="AU52" s="40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40"/>
      <c r="BI52" s="40"/>
      <c r="BJ52" s="40"/>
      <c r="BK52" s="40"/>
      <c r="BL52" s="40"/>
    </row>
    <row r="53" spans="1:64" ht="23.25" customHeight="1">
      <c r="A53" s="42">
        <v>89</v>
      </c>
      <c r="B53" s="39">
        <v>53</v>
      </c>
      <c r="C53" s="40">
        <v>120</v>
      </c>
      <c r="D53" s="44">
        <f t="shared" si="0"/>
        <v>53</v>
      </c>
      <c r="E53" s="44"/>
      <c r="F53" s="44"/>
      <c r="G53" s="44"/>
      <c r="H53" s="44"/>
      <c r="I53" s="44"/>
      <c r="J53" s="50"/>
      <c r="K53" s="44"/>
      <c r="L53" s="44"/>
      <c r="M53" s="44"/>
      <c r="N53" s="44"/>
      <c r="O53" s="44"/>
      <c r="P53" s="44"/>
      <c r="Q53" s="50"/>
      <c r="R53" s="44" t="s">
        <v>751</v>
      </c>
      <c r="S53" s="44" t="s">
        <v>266</v>
      </c>
      <c r="T53" s="44"/>
      <c r="U53" s="44"/>
      <c r="V53" s="50"/>
      <c r="W53" s="44"/>
      <c r="X53" s="44"/>
      <c r="Y53" s="44"/>
      <c r="Z53" s="46"/>
      <c r="AA53" s="44"/>
      <c r="AB53" s="44"/>
      <c r="AC53" s="44"/>
      <c r="AD53" s="44" t="s">
        <v>1446</v>
      </c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44"/>
      <c r="AP53" s="44"/>
      <c r="AQ53" s="44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44"/>
      <c r="BI53" s="45"/>
      <c r="BJ53" s="45"/>
      <c r="BK53" s="45"/>
      <c r="BL53" s="45"/>
    </row>
    <row r="54" spans="1:64" ht="12.75">
      <c r="A54" s="97">
        <v>176</v>
      </c>
      <c r="B54" s="32">
        <v>54</v>
      </c>
      <c r="C54" s="64">
        <v>121</v>
      </c>
      <c r="D54" s="98">
        <f t="shared" si="0"/>
        <v>54</v>
      </c>
      <c r="E54" s="98"/>
      <c r="F54" s="98"/>
      <c r="G54" s="98"/>
      <c r="H54" s="99"/>
      <c r="I54" s="98"/>
      <c r="J54" s="100"/>
      <c r="K54" s="98"/>
      <c r="L54" s="98"/>
      <c r="M54" s="100"/>
      <c r="N54" s="101"/>
      <c r="O54" s="100"/>
      <c r="P54" s="100"/>
      <c r="Q54" s="100"/>
      <c r="R54" s="98" t="s">
        <v>1467</v>
      </c>
      <c r="S54" s="100" t="s">
        <v>358</v>
      </c>
      <c r="T54" s="100"/>
      <c r="U54" s="100"/>
      <c r="V54" s="100"/>
      <c r="W54" s="98"/>
      <c r="X54" s="101"/>
      <c r="Y54" s="102"/>
      <c r="Z54" s="98"/>
      <c r="AA54" s="100"/>
      <c r="AB54" s="100"/>
      <c r="AC54" s="98"/>
      <c r="AD54" s="98" t="s">
        <v>1470</v>
      </c>
      <c r="AE54" s="100"/>
      <c r="AF54" s="103"/>
      <c r="AG54" s="100"/>
      <c r="AH54" s="100"/>
      <c r="AI54" s="103"/>
      <c r="AJ54" s="100"/>
      <c r="AK54" s="100"/>
      <c r="AL54" s="100"/>
      <c r="AM54" s="100"/>
      <c r="AN54" s="100"/>
      <c r="AO54" s="100"/>
      <c r="AP54" s="98"/>
      <c r="AQ54" s="98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51"/>
    </row>
    <row r="55" spans="1:64" ht="23.25" customHeight="1">
      <c r="A55" s="69">
        <v>45</v>
      </c>
      <c r="B55" s="32">
        <v>55</v>
      </c>
      <c r="C55" s="64">
        <v>122</v>
      </c>
      <c r="D55" s="33">
        <f t="shared" si="0"/>
        <v>55</v>
      </c>
      <c r="E55" s="56"/>
      <c r="F55" s="56"/>
      <c r="G55" s="56"/>
      <c r="H55" s="56"/>
      <c r="I55" s="59"/>
      <c r="J55" s="104"/>
      <c r="K55" s="56"/>
      <c r="L55" s="56"/>
      <c r="M55" s="56"/>
      <c r="N55" s="56"/>
      <c r="O55" s="104"/>
      <c r="P55" s="56"/>
      <c r="Q55" s="104"/>
      <c r="R55" s="56" t="s">
        <v>428</v>
      </c>
      <c r="S55" s="56" t="s">
        <v>429</v>
      </c>
      <c r="T55" s="56"/>
      <c r="U55" s="56"/>
      <c r="V55" s="104"/>
      <c r="W55" s="56"/>
      <c r="X55" s="56"/>
      <c r="Y55" s="56"/>
      <c r="Z55" s="59"/>
      <c r="AA55" s="56"/>
      <c r="AB55" s="56"/>
      <c r="AC55" s="56"/>
      <c r="AD55" s="56" t="s">
        <v>1437</v>
      </c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56"/>
      <c r="AP55" s="56"/>
      <c r="AQ55" s="56"/>
      <c r="AR55" s="104"/>
      <c r="AS55" s="104"/>
      <c r="AT55" s="104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6"/>
      <c r="BI55" s="56"/>
      <c r="BJ55" s="56"/>
      <c r="BK55" s="56"/>
      <c r="BL55" s="56"/>
    </row>
    <row r="56" spans="1:64" ht="12.75">
      <c r="A56" s="105"/>
      <c r="B56" s="48"/>
      <c r="C56" s="106"/>
      <c r="D56" s="106">
        <f t="shared" si="0"/>
        <v>0</v>
      </c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33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</row>
    <row r="57" spans="1:64" ht="12.75">
      <c r="A57" s="27"/>
      <c r="B57" s="27"/>
      <c r="C57" s="28"/>
      <c r="D57" s="28">
        <f t="shared" si="0"/>
        <v>0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</row>
    <row r="58" spans="1:64" ht="12.75">
      <c r="A58" s="29" t="s">
        <v>1473</v>
      </c>
      <c r="B58" s="29"/>
      <c r="C58" s="30"/>
      <c r="D58" s="30">
        <f t="shared" si="0"/>
        <v>0</v>
      </c>
      <c r="E58" s="30">
        <f>SUM(C59:C64)</f>
        <v>247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</row>
    <row r="59" spans="1:64" ht="23.25" customHeight="1">
      <c r="A59" s="42">
        <v>70</v>
      </c>
      <c r="B59" s="39">
        <v>56</v>
      </c>
      <c r="C59" s="40">
        <v>123</v>
      </c>
      <c r="D59" s="40">
        <f t="shared" si="0"/>
        <v>56</v>
      </c>
      <c r="E59" s="40"/>
      <c r="F59" s="40"/>
      <c r="G59" s="40"/>
      <c r="H59" s="40"/>
      <c r="I59" s="107"/>
      <c r="J59" s="80"/>
      <c r="K59" s="40"/>
      <c r="L59" s="40"/>
      <c r="M59" s="40"/>
      <c r="N59" s="40"/>
      <c r="O59" s="40"/>
      <c r="P59" s="40"/>
      <c r="Q59" s="80"/>
      <c r="R59" s="40" t="s">
        <v>616</v>
      </c>
      <c r="S59" s="40" t="s">
        <v>617</v>
      </c>
      <c r="T59" s="40"/>
      <c r="U59" s="40"/>
      <c r="V59" s="40"/>
      <c r="W59" s="40"/>
      <c r="X59" s="40"/>
      <c r="Y59" s="40"/>
      <c r="Z59" s="41"/>
      <c r="AA59" s="40"/>
      <c r="AB59" s="40"/>
      <c r="AC59" s="40"/>
      <c r="AD59" s="40" t="s">
        <v>620</v>
      </c>
      <c r="AE59" s="80"/>
      <c r="AF59" s="80"/>
      <c r="AG59" s="82"/>
      <c r="AH59" s="82"/>
      <c r="AI59" s="80"/>
      <c r="AJ59" s="82"/>
      <c r="AK59" s="82"/>
      <c r="AL59" s="80"/>
      <c r="AM59" s="40"/>
      <c r="AN59" s="80"/>
      <c r="AO59" s="40"/>
      <c r="AP59" s="40"/>
      <c r="AQ59" s="40"/>
      <c r="AR59" s="80"/>
      <c r="AS59" s="80"/>
      <c r="AT59" s="80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40"/>
      <c r="BI59" s="84"/>
      <c r="BJ59" s="84"/>
      <c r="BK59" s="84"/>
      <c r="BL59" s="84"/>
    </row>
    <row r="60" spans="1:64" ht="23.25" customHeight="1">
      <c r="A60" s="42">
        <v>90</v>
      </c>
      <c r="B60" s="39">
        <v>57</v>
      </c>
      <c r="C60" s="44">
        <v>124</v>
      </c>
      <c r="D60" s="44">
        <f t="shared" si="0"/>
        <v>57</v>
      </c>
      <c r="E60" s="44"/>
      <c r="F60" s="44"/>
      <c r="G60" s="44"/>
      <c r="H60" s="44"/>
      <c r="I60" s="44"/>
      <c r="J60" s="50"/>
      <c r="K60" s="44"/>
      <c r="L60" s="44"/>
      <c r="M60" s="44"/>
      <c r="N60" s="44"/>
      <c r="O60" s="44"/>
      <c r="P60" s="44"/>
      <c r="Q60" s="50"/>
      <c r="R60" s="44" t="s">
        <v>754</v>
      </c>
      <c r="S60" s="44" t="s">
        <v>266</v>
      </c>
      <c r="T60" s="44"/>
      <c r="U60" s="44"/>
      <c r="V60" s="50"/>
      <c r="W60" s="44"/>
      <c r="X60" s="44"/>
      <c r="Y60" s="44"/>
      <c r="Z60" s="46"/>
      <c r="AA60" s="44"/>
      <c r="AB60" s="44"/>
      <c r="AC60" s="44"/>
      <c r="AD60" s="44" t="s">
        <v>1446</v>
      </c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44"/>
      <c r="AP60" s="44"/>
      <c r="AQ60" s="44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44"/>
      <c r="BI60" s="45"/>
      <c r="BJ60" s="45"/>
      <c r="BK60" s="45"/>
      <c r="BL60" s="45"/>
    </row>
    <row r="61" spans="1:64" ht="12.75">
      <c r="A61" s="27"/>
      <c r="B61" s="27"/>
      <c r="C61" s="28"/>
      <c r="D61" s="28">
        <f t="shared" si="0"/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</row>
    <row r="62" spans="1:64" ht="12.75">
      <c r="A62" s="27"/>
      <c r="B62" s="27"/>
      <c r="C62" s="28"/>
      <c r="D62" s="28">
        <f t="shared" si="0"/>
        <v>0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</row>
    <row r="63" spans="1:64" ht="12.75">
      <c r="A63" s="27"/>
      <c r="B63" s="27"/>
      <c r="C63" s="28"/>
      <c r="D63" s="28">
        <f t="shared" si="0"/>
        <v>0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</row>
    <row r="64" spans="1:64" ht="12.75">
      <c r="A64" s="27"/>
      <c r="B64" s="27"/>
      <c r="C64" s="28"/>
      <c r="D64" s="28">
        <f t="shared" si="0"/>
        <v>0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</row>
    <row r="65" spans="1:64" ht="12.75">
      <c r="A65" s="29" t="s">
        <v>1476</v>
      </c>
      <c r="B65" s="29"/>
      <c r="C65" s="30"/>
      <c r="D65" s="30">
        <f t="shared" si="0"/>
        <v>0</v>
      </c>
      <c r="E65" s="30">
        <f>SUM(C66:C78)</f>
        <v>1703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</row>
    <row r="66" spans="1:64" ht="23.25" customHeight="1">
      <c r="A66" s="31">
        <v>160</v>
      </c>
      <c r="B66" s="63">
        <v>68</v>
      </c>
      <c r="C66" s="48">
        <v>125</v>
      </c>
      <c r="D66" s="48">
        <f t="shared" si="0"/>
        <v>68</v>
      </c>
      <c r="E66" s="48"/>
      <c r="F66" s="48"/>
      <c r="G66" s="48"/>
      <c r="H66" s="48"/>
      <c r="I66" s="48"/>
      <c r="J66" s="51"/>
      <c r="K66" s="48"/>
      <c r="L66" s="48"/>
      <c r="M66" s="48"/>
      <c r="N66" s="51"/>
      <c r="O66" s="48"/>
      <c r="P66" s="48"/>
      <c r="Q66" s="51"/>
      <c r="R66" s="48" t="s">
        <v>1230</v>
      </c>
      <c r="S66" s="48" t="s">
        <v>1218</v>
      </c>
      <c r="T66" s="48"/>
      <c r="U66" s="48"/>
      <c r="V66" s="51"/>
      <c r="W66" s="48"/>
      <c r="X66" s="48"/>
      <c r="Y66" s="48"/>
      <c r="Z66" s="52"/>
      <c r="AA66" s="48"/>
      <c r="AB66" s="48"/>
      <c r="AC66" s="48"/>
      <c r="AD66" s="48" t="s">
        <v>1223</v>
      </c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48"/>
      <c r="AP66" s="48"/>
      <c r="AQ66" s="48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 ht="23.25" customHeight="1">
      <c r="A67" s="62">
        <v>4</v>
      </c>
      <c r="B67" s="63">
        <v>69</v>
      </c>
      <c r="C67" s="64">
        <v>126</v>
      </c>
      <c r="D67" s="64">
        <f t="shared" si="0"/>
        <v>69</v>
      </c>
      <c r="E67" s="64"/>
      <c r="F67" s="64"/>
      <c r="G67" s="64"/>
      <c r="H67" s="64"/>
      <c r="I67" s="76"/>
      <c r="J67" s="64"/>
      <c r="K67" s="64"/>
      <c r="L67" s="64"/>
      <c r="M67" s="64"/>
      <c r="N67" s="64"/>
      <c r="O67" s="64"/>
      <c r="P67" s="108"/>
      <c r="Q67" s="64"/>
      <c r="R67" s="64" t="s">
        <v>90</v>
      </c>
      <c r="S67" s="64" t="s">
        <v>91</v>
      </c>
      <c r="T67" s="64"/>
      <c r="U67" s="64"/>
      <c r="V67" s="64"/>
      <c r="W67" s="64"/>
      <c r="X67" s="64"/>
      <c r="Y67" s="64"/>
      <c r="Z67" s="65"/>
      <c r="AA67" s="64"/>
      <c r="AB67" s="64"/>
      <c r="AC67" s="64"/>
      <c r="AD67" s="64" t="s">
        <v>1479</v>
      </c>
      <c r="AE67" s="64"/>
      <c r="AF67" s="64"/>
      <c r="AG67" s="79"/>
      <c r="AH67" s="64"/>
      <c r="AI67" s="64"/>
      <c r="AJ67" s="79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</row>
    <row r="68" spans="1:64" ht="23.25" customHeight="1">
      <c r="A68" s="42">
        <v>149</v>
      </c>
      <c r="B68" s="67">
        <v>70</v>
      </c>
      <c r="C68" s="44">
        <v>127</v>
      </c>
      <c r="D68" s="44">
        <f t="shared" ref="D68:D131" si="1">B68</f>
        <v>70</v>
      </c>
      <c r="E68" s="44"/>
      <c r="F68" s="44"/>
      <c r="G68" s="44"/>
      <c r="H68" s="44"/>
      <c r="I68" s="44"/>
      <c r="J68" s="45"/>
      <c r="K68" s="44"/>
      <c r="L68" s="109"/>
      <c r="M68" s="44"/>
      <c r="N68" s="44"/>
      <c r="O68" s="44"/>
      <c r="P68" s="44"/>
      <c r="Q68" s="45"/>
      <c r="R68" s="44" t="s">
        <v>1143</v>
      </c>
      <c r="S68" s="44" t="s">
        <v>1144</v>
      </c>
      <c r="T68" s="44"/>
      <c r="U68" s="44"/>
      <c r="V68" s="45"/>
      <c r="W68" s="44"/>
      <c r="X68" s="44"/>
      <c r="Y68" s="44"/>
      <c r="Z68" s="46"/>
      <c r="AA68" s="44"/>
      <c r="AB68" s="44"/>
      <c r="AC68" s="44"/>
      <c r="AD68" s="44" t="s">
        <v>1481</v>
      </c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4"/>
      <c r="AP68" s="44"/>
      <c r="AQ68" s="44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64" ht="23.25" customHeight="1">
      <c r="A69" s="42">
        <v>97</v>
      </c>
      <c r="B69" s="63">
        <v>71</v>
      </c>
      <c r="C69" s="48">
        <v>128</v>
      </c>
      <c r="D69" s="48">
        <f t="shared" si="1"/>
        <v>71</v>
      </c>
      <c r="E69" s="44"/>
      <c r="F69" s="44"/>
      <c r="G69" s="44"/>
      <c r="H69" s="44"/>
      <c r="I69" s="44"/>
      <c r="J69" s="45"/>
      <c r="K69" s="44"/>
      <c r="L69" s="44"/>
      <c r="M69" s="44"/>
      <c r="N69" s="44"/>
      <c r="O69" s="44"/>
      <c r="P69" s="44"/>
      <c r="Q69" s="45"/>
      <c r="R69" s="44" t="s">
        <v>782</v>
      </c>
      <c r="S69" s="44" t="s">
        <v>126</v>
      </c>
      <c r="T69" s="44"/>
      <c r="U69" s="44"/>
      <c r="V69" s="45"/>
      <c r="W69" s="44"/>
      <c r="X69" s="44"/>
      <c r="Y69" s="44"/>
      <c r="Z69" s="46"/>
      <c r="AA69" s="44"/>
      <c r="AB69" s="44"/>
      <c r="AC69" s="44"/>
      <c r="AD69" s="44" t="s">
        <v>1419</v>
      </c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4"/>
      <c r="AP69" s="44"/>
      <c r="AQ69" s="44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64" ht="23.25" customHeight="1">
      <c r="A70" s="42">
        <v>156</v>
      </c>
      <c r="B70" s="63">
        <v>72</v>
      </c>
      <c r="C70" s="64">
        <v>129</v>
      </c>
      <c r="D70" s="48">
        <f t="shared" si="1"/>
        <v>72</v>
      </c>
      <c r="E70" s="44"/>
      <c r="F70" s="44"/>
      <c r="G70" s="44"/>
      <c r="H70" s="44"/>
      <c r="I70" s="44"/>
      <c r="J70" s="45"/>
      <c r="K70" s="44"/>
      <c r="L70" s="44"/>
      <c r="M70" s="44"/>
      <c r="N70" s="45"/>
      <c r="O70" s="45"/>
      <c r="P70" s="45"/>
      <c r="Q70" s="45"/>
      <c r="R70" s="44" t="s">
        <v>1198</v>
      </c>
      <c r="S70" s="44" t="s">
        <v>1193</v>
      </c>
      <c r="T70" s="44"/>
      <c r="U70" s="44"/>
      <c r="V70" s="45"/>
      <c r="W70" s="44"/>
      <c r="X70" s="44"/>
      <c r="Y70" s="44"/>
      <c r="Z70" s="46"/>
      <c r="AA70" s="44"/>
      <c r="AB70" s="44"/>
      <c r="AC70" s="44"/>
      <c r="AD70" s="44" t="s">
        <v>1196</v>
      </c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4"/>
      <c r="AP70" s="44"/>
      <c r="AQ70" s="44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64" ht="23.25" customHeight="1">
      <c r="A71" s="42">
        <v>67</v>
      </c>
      <c r="B71" s="67">
        <v>73</v>
      </c>
      <c r="C71" s="44">
        <v>130</v>
      </c>
      <c r="D71" s="40">
        <f t="shared" si="1"/>
        <v>73</v>
      </c>
      <c r="E71" s="40"/>
      <c r="F71" s="40"/>
      <c r="G71" s="40"/>
      <c r="H71" s="40"/>
      <c r="I71" s="107"/>
      <c r="J71" s="80"/>
      <c r="K71" s="40"/>
      <c r="L71" s="40"/>
      <c r="M71" s="40"/>
      <c r="N71" s="40"/>
      <c r="O71" s="40"/>
      <c r="P71" s="40"/>
      <c r="Q71" s="80"/>
      <c r="R71" s="40" t="s">
        <v>595</v>
      </c>
      <c r="S71" s="40" t="s">
        <v>591</v>
      </c>
      <c r="T71" s="40"/>
      <c r="U71" s="40"/>
      <c r="V71" s="80"/>
      <c r="W71" s="40"/>
      <c r="X71" s="40"/>
      <c r="Y71" s="40"/>
      <c r="Z71" s="41"/>
      <c r="AA71" s="40"/>
      <c r="AB71" s="40"/>
      <c r="AC71" s="40"/>
      <c r="AD71" s="40" t="s">
        <v>1457</v>
      </c>
      <c r="AE71" s="80"/>
      <c r="AF71" s="80"/>
      <c r="AG71" s="82"/>
      <c r="AH71" s="80"/>
      <c r="AI71" s="80"/>
      <c r="AJ71" s="82"/>
      <c r="AK71" s="82"/>
      <c r="AL71" s="80"/>
      <c r="AM71" s="40"/>
      <c r="AN71" s="80"/>
      <c r="AO71" s="40"/>
      <c r="AP71" s="40"/>
      <c r="AQ71" s="40"/>
      <c r="AR71" s="80"/>
      <c r="AS71" s="80"/>
      <c r="AT71" s="80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40"/>
      <c r="BI71" s="84"/>
      <c r="BJ71" s="84"/>
      <c r="BK71" s="84"/>
      <c r="BL71" s="84"/>
    </row>
    <row r="72" spans="1:64" ht="23.25" customHeight="1">
      <c r="A72" s="42">
        <v>155</v>
      </c>
      <c r="B72" s="63">
        <v>74</v>
      </c>
      <c r="C72" s="48">
        <v>131</v>
      </c>
      <c r="D72" s="48">
        <f t="shared" si="1"/>
        <v>74</v>
      </c>
      <c r="E72" s="44"/>
      <c r="F72" s="44"/>
      <c r="G72" s="44"/>
      <c r="H72" s="44"/>
      <c r="I72" s="44"/>
      <c r="J72" s="45"/>
      <c r="K72" s="44"/>
      <c r="L72" s="44"/>
      <c r="M72" s="44"/>
      <c r="N72" s="45"/>
      <c r="O72" s="45"/>
      <c r="P72" s="45"/>
      <c r="Q72" s="45"/>
      <c r="R72" s="44" t="s">
        <v>1192</v>
      </c>
      <c r="S72" s="44" t="s">
        <v>1193</v>
      </c>
      <c r="T72" s="44"/>
      <c r="U72" s="44"/>
      <c r="V72" s="45"/>
      <c r="W72" s="44"/>
      <c r="X72" s="44"/>
      <c r="Y72" s="44"/>
      <c r="Z72" s="46"/>
      <c r="AA72" s="44"/>
      <c r="AB72" s="44"/>
      <c r="AC72" s="44"/>
      <c r="AD72" s="44" t="s">
        <v>1196</v>
      </c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4"/>
      <c r="AP72" s="44"/>
      <c r="AQ72" s="44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64" ht="23.25" customHeight="1">
      <c r="A73" s="62">
        <v>9</v>
      </c>
      <c r="B73" s="63">
        <v>75</v>
      </c>
      <c r="C73" s="64">
        <v>132</v>
      </c>
      <c r="D73" s="64">
        <f t="shared" si="1"/>
        <v>75</v>
      </c>
      <c r="E73" s="64"/>
      <c r="F73" s="64"/>
      <c r="G73" s="64"/>
      <c r="H73" s="64"/>
      <c r="I73" s="76"/>
      <c r="J73" s="64"/>
      <c r="K73" s="27"/>
      <c r="L73" s="64"/>
      <c r="M73" s="64"/>
      <c r="N73" s="64"/>
      <c r="O73" s="64"/>
      <c r="P73" s="27"/>
      <c r="Q73" s="64"/>
      <c r="R73" s="64" t="s">
        <v>137</v>
      </c>
      <c r="S73" s="64" t="s">
        <v>138</v>
      </c>
      <c r="T73" s="64"/>
      <c r="U73" s="64"/>
      <c r="V73" s="64"/>
      <c r="W73" s="77"/>
      <c r="X73" s="110"/>
      <c r="Y73" s="64"/>
      <c r="Z73" s="65"/>
      <c r="AA73" s="64"/>
      <c r="AB73" s="64"/>
      <c r="AC73" s="64"/>
      <c r="AD73" s="64" t="s">
        <v>1459</v>
      </c>
      <c r="AE73" s="64"/>
      <c r="AF73" s="64"/>
      <c r="AG73" s="79"/>
      <c r="AH73" s="64"/>
      <c r="AI73" s="64"/>
      <c r="AJ73" s="79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</row>
    <row r="74" spans="1:64" ht="23.25" customHeight="1">
      <c r="A74" s="111">
        <v>3</v>
      </c>
      <c r="B74" s="67">
        <v>76</v>
      </c>
      <c r="C74" s="44">
        <v>133</v>
      </c>
      <c r="D74" s="112">
        <f t="shared" si="1"/>
        <v>76</v>
      </c>
      <c r="E74" s="112"/>
      <c r="F74" s="112"/>
      <c r="G74" s="112"/>
      <c r="H74" s="112"/>
      <c r="I74" s="113"/>
      <c r="J74" s="112"/>
      <c r="K74" s="112"/>
      <c r="L74" s="113"/>
      <c r="M74" s="112"/>
      <c r="N74" s="112"/>
      <c r="O74" s="112"/>
      <c r="P74" s="114"/>
      <c r="Q74" s="112"/>
      <c r="R74" s="112" t="s">
        <v>76</v>
      </c>
      <c r="S74" s="112" t="s">
        <v>77</v>
      </c>
      <c r="T74" s="112"/>
      <c r="U74" s="112"/>
      <c r="V74" s="112"/>
      <c r="W74" s="115"/>
      <c r="X74" s="112"/>
      <c r="Y74" s="116"/>
      <c r="Z74" s="117"/>
      <c r="AA74" s="112"/>
      <c r="AB74" s="112"/>
      <c r="AC74" s="112"/>
      <c r="AD74" s="112" t="s">
        <v>1486</v>
      </c>
      <c r="AE74" s="112"/>
      <c r="AF74" s="112"/>
      <c r="AG74" s="118"/>
      <c r="AH74" s="112"/>
      <c r="AI74" s="112"/>
      <c r="AJ74" s="118"/>
      <c r="AK74" s="112"/>
      <c r="AL74" s="112"/>
      <c r="AM74" s="112"/>
      <c r="AN74" s="112"/>
      <c r="AO74" s="112"/>
      <c r="AP74" s="116"/>
      <c r="AQ74" s="116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</row>
    <row r="75" spans="1:64" ht="23.25" customHeight="1">
      <c r="A75" s="31">
        <v>91</v>
      </c>
      <c r="B75" s="63">
        <v>77</v>
      </c>
      <c r="C75" s="48">
        <v>134</v>
      </c>
      <c r="D75" s="48">
        <f t="shared" si="1"/>
        <v>77</v>
      </c>
      <c r="E75" s="48"/>
      <c r="F75" s="48"/>
      <c r="G75" s="48"/>
      <c r="H75" s="48"/>
      <c r="I75" s="48"/>
      <c r="J75" s="53"/>
      <c r="K75" s="48"/>
      <c r="L75" s="48"/>
      <c r="M75" s="48"/>
      <c r="N75" s="48"/>
      <c r="O75" s="48"/>
      <c r="P75" s="48"/>
      <c r="Q75" s="53"/>
      <c r="R75" s="48" t="s">
        <v>756</v>
      </c>
      <c r="S75" s="48" t="s">
        <v>266</v>
      </c>
      <c r="T75" s="48"/>
      <c r="U75" s="48"/>
      <c r="V75" s="53"/>
      <c r="W75" s="48"/>
      <c r="X75" s="48"/>
      <c r="Y75" s="48"/>
      <c r="Z75" s="52"/>
      <c r="AA75" s="48"/>
      <c r="AB75" s="48"/>
      <c r="AC75" s="48"/>
      <c r="AD75" s="48" t="s">
        <v>1446</v>
      </c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48"/>
      <c r="AP75" s="48"/>
      <c r="AQ75" s="48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48"/>
      <c r="BI75" s="51"/>
      <c r="BJ75" s="51"/>
      <c r="BK75" s="51"/>
      <c r="BL75" s="51"/>
    </row>
    <row r="76" spans="1:64" ht="23.25" customHeight="1">
      <c r="A76" s="119">
        <v>35</v>
      </c>
      <c r="B76" s="63">
        <v>78</v>
      </c>
      <c r="C76" s="64">
        <v>135</v>
      </c>
      <c r="D76" s="64">
        <f t="shared" si="1"/>
        <v>78</v>
      </c>
      <c r="E76" s="64"/>
      <c r="F76" s="64"/>
      <c r="G76" s="64"/>
      <c r="H76" s="64"/>
      <c r="I76" s="64"/>
      <c r="J76" s="86"/>
      <c r="K76" s="64"/>
      <c r="L76" s="64"/>
      <c r="M76" s="64"/>
      <c r="N76" s="64"/>
      <c r="O76" s="64"/>
      <c r="P76" s="64"/>
      <c r="Q76" s="86"/>
      <c r="R76" s="64" t="s">
        <v>357</v>
      </c>
      <c r="S76" s="64" t="s">
        <v>358</v>
      </c>
      <c r="T76" s="64"/>
      <c r="U76" s="64"/>
      <c r="V76" s="86"/>
      <c r="W76" s="64"/>
      <c r="X76" s="64"/>
      <c r="Y76" s="64"/>
      <c r="Z76" s="65"/>
      <c r="AA76" s="64"/>
      <c r="AB76" s="64"/>
      <c r="AC76" s="64"/>
      <c r="AD76" s="81" t="s">
        <v>1488</v>
      </c>
      <c r="AE76" s="86"/>
      <c r="AF76" s="86"/>
      <c r="AG76" s="87"/>
      <c r="AH76" s="86"/>
      <c r="AI76" s="86"/>
      <c r="AJ76" s="87"/>
      <c r="AK76" s="87"/>
      <c r="AL76" s="87"/>
      <c r="AM76" s="64"/>
      <c r="AN76" s="86"/>
      <c r="AO76" s="64"/>
      <c r="AP76" s="64"/>
      <c r="AQ76" s="64"/>
      <c r="AR76" s="86"/>
      <c r="AS76" s="86"/>
      <c r="AT76" s="86"/>
      <c r="AU76" s="64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64"/>
      <c r="BI76" s="64"/>
      <c r="BJ76" s="64"/>
      <c r="BK76" s="64"/>
      <c r="BL76" s="64"/>
    </row>
    <row r="77" spans="1:64" ht="25.5">
      <c r="A77" s="48">
        <v>172</v>
      </c>
      <c r="B77" s="67">
        <v>79</v>
      </c>
      <c r="C77" s="44">
        <v>136</v>
      </c>
      <c r="D77" s="48">
        <f t="shared" si="1"/>
        <v>79</v>
      </c>
      <c r="E77" s="48"/>
      <c r="F77" s="48"/>
      <c r="G77" s="48"/>
      <c r="H77" s="48"/>
      <c r="I77" s="120"/>
      <c r="J77" s="51"/>
      <c r="K77" s="48"/>
      <c r="L77" s="48"/>
      <c r="M77" s="48"/>
      <c r="N77" s="51"/>
      <c r="O77" s="51"/>
      <c r="P77" s="121"/>
      <c r="Q77" s="51"/>
      <c r="R77" s="48" t="s">
        <v>1304</v>
      </c>
      <c r="S77" s="48" t="s">
        <v>358</v>
      </c>
      <c r="T77" s="48"/>
      <c r="U77" s="48"/>
      <c r="V77" s="51"/>
      <c r="W77" s="48"/>
      <c r="X77" s="120"/>
      <c r="Y77" s="48"/>
      <c r="Z77" s="52"/>
      <c r="AA77" s="48"/>
      <c r="AB77" s="120"/>
      <c r="AC77" s="81"/>
      <c r="AD77" s="48" t="s">
        <v>1489</v>
      </c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120"/>
      <c r="AP77" s="48"/>
      <c r="AQ77" s="48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64" ht="23.25" customHeight="1">
      <c r="A78" s="119">
        <v>39</v>
      </c>
      <c r="B78" s="63">
        <v>80</v>
      </c>
      <c r="C78" s="48">
        <v>137</v>
      </c>
      <c r="D78" s="64">
        <f t="shared" si="1"/>
        <v>80</v>
      </c>
      <c r="E78" s="64"/>
      <c r="F78" s="64"/>
      <c r="G78" s="64"/>
      <c r="H78" s="64"/>
      <c r="I78" s="64"/>
      <c r="J78" s="86"/>
      <c r="K78" s="64"/>
      <c r="L78" s="64"/>
      <c r="M78" s="64"/>
      <c r="N78" s="64"/>
      <c r="O78" s="64"/>
      <c r="P78" s="64"/>
      <c r="Q78" s="86"/>
      <c r="R78" s="64" t="s">
        <v>381</v>
      </c>
      <c r="S78" s="64" t="s">
        <v>358</v>
      </c>
      <c r="T78" s="64"/>
      <c r="U78" s="64"/>
      <c r="V78" s="86"/>
      <c r="W78" s="64"/>
      <c r="X78" s="64"/>
      <c r="Y78" s="64"/>
      <c r="Z78" s="65"/>
      <c r="AA78" s="64"/>
      <c r="AB78" s="64"/>
      <c r="AC78" s="81"/>
      <c r="AD78" s="81" t="s">
        <v>1488</v>
      </c>
      <c r="AE78" s="86"/>
      <c r="AF78" s="86"/>
      <c r="AG78" s="87"/>
      <c r="AH78" s="86"/>
      <c r="AI78" s="86"/>
      <c r="AJ78" s="87"/>
      <c r="AK78" s="87"/>
      <c r="AL78" s="87"/>
      <c r="AM78" s="64"/>
      <c r="AN78" s="86"/>
      <c r="AO78" s="64"/>
      <c r="AP78" s="64"/>
      <c r="AQ78" s="64"/>
      <c r="AR78" s="86"/>
      <c r="AS78" s="86"/>
      <c r="AT78" s="86"/>
      <c r="AU78" s="64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64"/>
      <c r="BI78" s="64"/>
      <c r="BJ78" s="64"/>
      <c r="BK78" s="64"/>
      <c r="BL78" s="64"/>
    </row>
    <row r="79" spans="1:64" ht="12.75">
      <c r="A79" s="29" t="s">
        <v>1490</v>
      </c>
      <c r="B79" s="29"/>
      <c r="C79" s="30"/>
      <c r="D79" s="30">
        <f t="shared" si="1"/>
        <v>0</v>
      </c>
      <c r="E79" s="30">
        <f>SUM(C80:C86)</f>
        <v>277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</row>
    <row r="80" spans="1:64" ht="23.25" customHeight="1">
      <c r="A80" s="42">
        <v>131</v>
      </c>
      <c r="B80" s="67">
        <v>81</v>
      </c>
      <c r="C80" s="44">
        <v>138</v>
      </c>
      <c r="D80" s="44">
        <f t="shared" si="1"/>
        <v>81</v>
      </c>
      <c r="E80" s="44"/>
      <c r="F80" s="44"/>
      <c r="G80" s="44"/>
      <c r="H80" s="44"/>
      <c r="I80" s="44"/>
      <c r="J80" s="45"/>
      <c r="K80" s="44"/>
      <c r="L80" s="44"/>
      <c r="M80" s="44"/>
      <c r="N80" s="44"/>
      <c r="O80" s="44"/>
      <c r="P80" s="44"/>
      <c r="Q80" s="45"/>
      <c r="R80" s="44" t="s">
        <v>1033</v>
      </c>
      <c r="S80" s="44" t="s">
        <v>1034</v>
      </c>
      <c r="T80" s="44"/>
      <c r="U80" s="44"/>
      <c r="V80" s="45"/>
      <c r="W80" s="44"/>
      <c r="X80" s="44"/>
      <c r="Y80" s="44"/>
      <c r="Z80" s="46"/>
      <c r="AA80" s="44"/>
      <c r="AB80" s="44"/>
      <c r="AC80" s="44"/>
      <c r="AD80" s="44" t="s">
        <v>1492</v>
      </c>
      <c r="AE80" s="45"/>
      <c r="AF80" s="45"/>
      <c r="AG80" s="68"/>
      <c r="AH80" s="45"/>
      <c r="AI80" s="45"/>
      <c r="AJ80" s="68"/>
      <c r="AK80" s="45"/>
      <c r="AL80" s="45"/>
      <c r="AM80" s="44"/>
      <c r="AN80" s="45"/>
      <c r="AO80" s="44"/>
      <c r="AP80" s="44"/>
      <c r="AQ80" s="44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23.25" customHeight="1">
      <c r="A81" s="31">
        <v>85</v>
      </c>
      <c r="B81" s="63">
        <v>82</v>
      </c>
      <c r="C81" s="48">
        <v>139</v>
      </c>
      <c r="D81" s="48">
        <f t="shared" si="1"/>
        <v>82</v>
      </c>
      <c r="E81" s="48"/>
      <c r="F81" s="48"/>
      <c r="G81" s="48"/>
      <c r="H81" s="48"/>
      <c r="I81" s="48"/>
      <c r="J81" s="53"/>
      <c r="K81" s="48"/>
      <c r="L81" s="48"/>
      <c r="M81" s="48"/>
      <c r="N81" s="48"/>
      <c r="O81" s="48"/>
      <c r="P81" s="48"/>
      <c r="Q81" s="53"/>
      <c r="R81" s="48" t="s">
        <v>723</v>
      </c>
      <c r="S81" s="48" t="s">
        <v>617</v>
      </c>
      <c r="T81" s="48"/>
      <c r="U81" s="48"/>
      <c r="V81" s="53"/>
      <c r="W81" s="48"/>
      <c r="X81" s="48"/>
      <c r="Y81" s="48"/>
      <c r="Z81" s="52"/>
      <c r="AA81" s="48"/>
      <c r="AB81" s="48"/>
      <c r="AC81" s="48"/>
      <c r="AD81" s="48" t="s">
        <v>1475</v>
      </c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48"/>
      <c r="AP81" s="48"/>
      <c r="AQ81" s="48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48"/>
      <c r="BI81" s="51"/>
      <c r="BJ81" s="51"/>
      <c r="BK81" s="51"/>
      <c r="BL81" s="51"/>
    </row>
    <row r="82" spans="1:64" ht="12.75">
      <c r="A82" s="27"/>
      <c r="B82" s="27"/>
      <c r="C82" s="28"/>
      <c r="D82" s="28">
        <f t="shared" si="1"/>
        <v>0</v>
      </c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</row>
    <row r="83" spans="1:64" ht="12.75">
      <c r="A83" s="27"/>
      <c r="B83" s="27"/>
      <c r="C83" s="28"/>
      <c r="D83" s="28">
        <f t="shared" si="1"/>
        <v>0</v>
      </c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</row>
    <row r="84" spans="1:64" ht="12.75">
      <c r="A84" s="27"/>
      <c r="B84" s="27"/>
      <c r="C84" s="28"/>
      <c r="D84" s="28">
        <f t="shared" si="1"/>
        <v>0</v>
      </c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</row>
    <row r="85" spans="1:64" ht="12.75">
      <c r="A85" s="27"/>
      <c r="B85" s="27"/>
      <c r="C85" s="28"/>
      <c r="D85" s="28">
        <f t="shared" si="1"/>
        <v>0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</row>
    <row r="86" spans="1:64" ht="12.75">
      <c r="A86" s="27"/>
      <c r="B86" s="27"/>
      <c r="C86" s="28"/>
      <c r="D86" s="28">
        <f t="shared" si="1"/>
        <v>0</v>
      </c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</row>
    <row r="87" spans="1:64" ht="12.75">
      <c r="A87" s="29" t="s">
        <v>1493</v>
      </c>
      <c r="B87" s="29"/>
      <c r="C87" s="30"/>
      <c r="D87" s="30">
        <f t="shared" si="1"/>
        <v>0</v>
      </c>
      <c r="E87" s="30">
        <f>SUM(C88:C92)</f>
        <v>374</v>
      </c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</row>
    <row r="88" spans="1:64" ht="23.25" customHeight="1">
      <c r="A88" s="42">
        <v>104</v>
      </c>
      <c r="B88" s="39">
        <v>40</v>
      </c>
      <c r="C88" s="44">
        <v>92</v>
      </c>
      <c r="D88" s="44">
        <f t="shared" si="1"/>
        <v>40</v>
      </c>
      <c r="E88" s="44"/>
      <c r="F88" s="44"/>
      <c r="G88" s="44"/>
      <c r="H88" s="44"/>
      <c r="I88" s="44"/>
      <c r="J88" s="45"/>
      <c r="K88" s="44"/>
      <c r="L88" s="44"/>
      <c r="M88" s="44"/>
      <c r="N88" s="44"/>
      <c r="O88" s="44"/>
      <c r="P88" s="44"/>
      <c r="Q88" s="45"/>
      <c r="R88" s="44" t="s">
        <v>825</v>
      </c>
      <c r="S88" s="44" t="s">
        <v>200</v>
      </c>
      <c r="T88" s="44"/>
      <c r="U88" s="44"/>
      <c r="V88" s="45"/>
      <c r="W88" s="44"/>
      <c r="X88" s="44"/>
      <c r="Y88" s="44"/>
      <c r="Z88" s="46"/>
      <c r="AA88" s="44"/>
      <c r="AB88" s="44"/>
      <c r="AC88" s="44"/>
      <c r="AD88" s="44" t="s">
        <v>1495</v>
      </c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4"/>
      <c r="AP88" s="44"/>
      <c r="AQ88" s="44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</row>
    <row r="89" spans="1:64" ht="23.25" customHeight="1">
      <c r="A89" s="42">
        <v>109</v>
      </c>
      <c r="B89" s="39">
        <v>41</v>
      </c>
      <c r="C89" s="44">
        <v>93</v>
      </c>
      <c r="D89" s="44">
        <f t="shared" si="1"/>
        <v>41</v>
      </c>
      <c r="E89" s="44"/>
      <c r="F89" s="44"/>
      <c r="G89" s="44"/>
      <c r="H89" s="44"/>
      <c r="I89" s="44"/>
      <c r="J89" s="45"/>
      <c r="K89" s="44"/>
      <c r="L89" s="45"/>
      <c r="M89" s="44"/>
      <c r="N89" s="44"/>
      <c r="O89" s="45"/>
      <c r="P89" s="45"/>
      <c r="Q89" s="45"/>
      <c r="R89" s="44" t="s">
        <v>850</v>
      </c>
      <c r="S89" s="44" t="s">
        <v>851</v>
      </c>
      <c r="T89" s="44"/>
      <c r="U89" s="44"/>
      <c r="V89" s="45"/>
      <c r="W89" s="44"/>
      <c r="X89" s="44"/>
      <c r="Y89" s="44"/>
      <c r="Z89" s="46"/>
      <c r="AA89" s="44"/>
      <c r="AB89" s="44"/>
      <c r="AC89" s="44"/>
      <c r="AD89" s="44" t="s">
        <v>1498</v>
      </c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4"/>
      <c r="AP89" s="44"/>
      <c r="AQ89" s="44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</row>
    <row r="90" spans="1:64" ht="23.25" customHeight="1">
      <c r="A90" s="42">
        <v>150</v>
      </c>
      <c r="B90" s="39">
        <v>42</v>
      </c>
      <c r="C90" s="44">
        <v>94</v>
      </c>
      <c r="D90" s="44">
        <f t="shared" si="1"/>
        <v>42</v>
      </c>
      <c r="E90" s="44"/>
      <c r="F90" s="44"/>
      <c r="G90" s="44"/>
      <c r="H90" s="44"/>
      <c r="I90" s="44"/>
      <c r="J90" s="45"/>
      <c r="K90" s="44"/>
      <c r="L90" s="44"/>
      <c r="M90" s="44"/>
      <c r="N90" s="44"/>
      <c r="O90" s="44"/>
      <c r="P90" s="44"/>
      <c r="Q90" s="45"/>
      <c r="R90" s="44" t="s">
        <v>1151</v>
      </c>
      <c r="S90" s="44" t="s">
        <v>1152</v>
      </c>
      <c r="T90" s="44"/>
      <c r="U90" s="44"/>
      <c r="V90" s="45"/>
      <c r="W90" s="44"/>
      <c r="X90" s="44"/>
      <c r="Y90" s="44"/>
      <c r="Z90" s="46"/>
      <c r="AA90" s="44"/>
      <c r="AB90" s="44"/>
      <c r="AC90" s="44"/>
      <c r="AD90" s="44" t="s">
        <v>1501</v>
      </c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4"/>
      <c r="AP90" s="44"/>
      <c r="AQ90" s="44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23.25" customHeight="1">
      <c r="A91" s="31">
        <v>92</v>
      </c>
      <c r="B91" s="32">
        <v>43</v>
      </c>
      <c r="C91" s="48">
        <v>95</v>
      </c>
      <c r="D91" s="48">
        <f t="shared" si="1"/>
        <v>43</v>
      </c>
      <c r="E91" s="48"/>
      <c r="F91" s="48"/>
      <c r="G91" s="48"/>
      <c r="H91" s="48"/>
      <c r="I91" s="48"/>
      <c r="J91" s="53"/>
      <c r="K91" s="48"/>
      <c r="L91" s="48"/>
      <c r="M91" s="48"/>
      <c r="N91" s="48"/>
      <c r="O91" s="48"/>
      <c r="P91" s="48"/>
      <c r="Q91" s="53"/>
      <c r="R91" s="48" t="s">
        <v>758</v>
      </c>
      <c r="S91" s="48" t="s">
        <v>661</v>
      </c>
      <c r="T91" s="48"/>
      <c r="U91" s="48"/>
      <c r="V91" s="53"/>
      <c r="W91" s="48"/>
      <c r="X91" s="48"/>
      <c r="Y91" s="48"/>
      <c r="Z91" s="52"/>
      <c r="AA91" s="48"/>
      <c r="AB91" s="48"/>
      <c r="AC91" s="48"/>
      <c r="AD91" s="48" t="s">
        <v>1446</v>
      </c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48"/>
      <c r="AP91" s="48"/>
      <c r="AQ91" s="48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48"/>
      <c r="BI91" s="51"/>
      <c r="BJ91" s="51"/>
      <c r="BK91" s="51"/>
      <c r="BL91" s="51"/>
    </row>
    <row r="92" spans="1:64" ht="12.75">
      <c r="A92" s="27"/>
      <c r="B92" s="27"/>
      <c r="C92" s="28"/>
      <c r="D92" s="28">
        <f t="shared" si="1"/>
        <v>0</v>
      </c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</row>
    <row r="93" spans="1:64" ht="12.75">
      <c r="A93" s="29" t="s">
        <v>1503</v>
      </c>
      <c r="B93" s="29"/>
      <c r="C93" s="30"/>
      <c r="D93" s="30">
        <f t="shared" si="1"/>
        <v>0</v>
      </c>
      <c r="E93" s="30">
        <f>SUM(C94:C99)</f>
        <v>390</v>
      </c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</row>
    <row r="94" spans="1:64" ht="23.25" customHeight="1">
      <c r="A94" s="31">
        <v>124</v>
      </c>
      <c r="B94" s="32">
        <v>44</v>
      </c>
      <c r="C94" s="48">
        <v>96</v>
      </c>
      <c r="D94" s="48">
        <f t="shared" si="1"/>
        <v>44</v>
      </c>
      <c r="E94" s="48"/>
      <c r="F94" s="48"/>
      <c r="G94" s="48"/>
      <c r="H94" s="48"/>
      <c r="I94" s="54"/>
      <c r="J94" s="51"/>
      <c r="K94" s="48"/>
      <c r="L94" s="48"/>
      <c r="M94" s="48"/>
      <c r="N94" s="48"/>
      <c r="O94" s="48"/>
      <c r="P94" s="48"/>
      <c r="Q94" s="51"/>
      <c r="R94" s="48" t="s">
        <v>977</v>
      </c>
      <c r="S94" s="48" t="s">
        <v>978</v>
      </c>
      <c r="T94" s="48"/>
      <c r="U94" s="48"/>
      <c r="V94" s="51"/>
      <c r="W94" s="48"/>
      <c r="X94" s="48"/>
      <c r="Y94" s="48"/>
      <c r="Z94" s="52"/>
      <c r="AA94" s="48"/>
      <c r="AB94" s="48"/>
      <c r="AC94" s="48"/>
      <c r="AD94" s="48" t="s">
        <v>1506</v>
      </c>
      <c r="AE94" s="51"/>
      <c r="AF94" s="51"/>
      <c r="AG94" s="55"/>
      <c r="AH94" s="55"/>
      <c r="AI94" s="51"/>
      <c r="AJ94" s="55"/>
      <c r="AK94" s="55"/>
      <c r="AL94" s="55"/>
      <c r="AM94" s="48"/>
      <c r="AN94" s="51"/>
      <c r="AO94" s="48"/>
      <c r="AP94" s="48"/>
      <c r="AQ94" s="48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</row>
    <row r="95" spans="1:64" ht="23.25" customHeight="1">
      <c r="A95" s="31">
        <v>125</v>
      </c>
      <c r="B95" s="32">
        <v>45</v>
      </c>
      <c r="C95" s="48">
        <v>97</v>
      </c>
      <c r="D95" s="48">
        <f t="shared" si="1"/>
        <v>45</v>
      </c>
      <c r="E95" s="48"/>
      <c r="F95" s="48"/>
      <c r="G95" s="48"/>
      <c r="H95" s="48"/>
      <c r="I95" s="48"/>
      <c r="J95" s="51"/>
      <c r="K95" s="48"/>
      <c r="L95" s="48"/>
      <c r="M95" s="48"/>
      <c r="N95" s="48"/>
      <c r="O95" s="48"/>
      <c r="P95" s="48"/>
      <c r="Q95" s="51"/>
      <c r="R95" s="48" t="s">
        <v>986</v>
      </c>
      <c r="S95" s="48" t="s">
        <v>8</v>
      </c>
      <c r="T95" s="48"/>
      <c r="U95" s="48"/>
      <c r="V95" s="51"/>
      <c r="W95" s="48"/>
      <c r="X95" s="48"/>
      <c r="Y95" s="48"/>
      <c r="Z95" s="52"/>
      <c r="AA95" s="48"/>
      <c r="AB95" s="48"/>
      <c r="AC95" s="48"/>
      <c r="AD95" s="48" t="s">
        <v>1508</v>
      </c>
      <c r="AE95" s="51"/>
      <c r="AF95" s="55"/>
      <c r="AG95" s="55"/>
      <c r="AH95" s="55"/>
      <c r="AI95" s="51"/>
      <c r="AJ95" s="55"/>
      <c r="AK95" s="51"/>
      <c r="AL95" s="51"/>
      <c r="AM95" s="48"/>
      <c r="AN95" s="51"/>
      <c r="AO95" s="48"/>
      <c r="AP95" s="48"/>
      <c r="AQ95" s="48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</row>
    <row r="96" spans="1:64" ht="23.25" customHeight="1">
      <c r="A96" s="31">
        <v>144</v>
      </c>
      <c r="B96" s="32">
        <v>46</v>
      </c>
      <c r="C96" s="48">
        <v>98</v>
      </c>
      <c r="D96" s="48">
        <f t="shared" si="1"/>
        <v>46</v>
      </c>
      <c r="E96" s="48"/>
      <c r="F96" s="48"/>
      <c r="G96" s="48"/>
      <c r="H96" s="48"/>
      <c r="I96" s="54"/>
      <c r="J96" s="51"/>
      <c r="K96" s="48"/>
      <c r="L96" s="48"/>
      <c r="M96" s="48"/>
      <c r="N96" s="48"/>
      <c r="O96" s="48"/>
      <c r="P96" s="48"/>
      <c r="Q96" s="51"/>
      <c r="R96" s="48" t="s">
        <v>1117</v>
      </c>
      <c r="S96" s="48" t="s">
        <v>1118</v>
      </c>
      <c r="T96" s="48"/>
      <c r="U96" s="48"/>
      <c r="V96" s="51"/>
      <c r="W96" s="48"/>
      <c r="X96" s="48"/>
      <c r="Y96" s="48"/>
      <c r="Z96" s="52"/>
      <c r="AA96" s="48"/>
      <c r="AB96" s="48"/>
      <c r="AC96" s="48"/>
      <c r="AD96" s="48" t="s">
        <v>1512</v>
      </c>
      <c r="AE96" s="51"/>
      <c r="AF96" s="51"/>
      <c r="AG96" s="55"/>
      <c r="AH96" s="51"/>
      <c r="AI96" s="51"/>
      <c r="AJ96" s="55"/>
      <c r="AK96" s="51"/>
      <c r="AL96" s="51"/>
      <c r="AM96" s="48"/>
      <c r="AN96" s="51"/>
      <c r="AO96" s="48"/>
      <c r="AP96" s="48"/>
      <c r="AQ96" s="48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</row>
    <row r="97" spans="1:64" ht="23.25" customHeight="1">
      <c r="A97" s="31">
        <v>146</v>
      </c>
      <c r="B97" s="32">
        <v>47</v>
      </c>
      <c r="C97" s="48">
        <v>99</v>
      </c>
      <c r="D97" s="48">
        <f t="shared" si="1"/>
        <v>47</v>
      </c>
      <c r="E97" s="48"/>
      <c r="F97" s="48"/>
      <c r="G97" s="48"/>
      <c r="H97" s="48"/>
      <c r="I97" s="54"/>
      <c r="J97" s="51"/>
      <c r="K97" s="48"/>
      <c r="L97" s="48"/>
      <c r="M97" s="48"/>
      <c r="N97" s="48"/>
      <c r="O97" s="48"/>
      <c r="P97" s="48"/>
      <c r="Q97" s="51"/>
      <c r="R97" s="48" t="s">
        <v>1124</v>
      </c>
      <c r="S97" s="48" t="s">
        <v>1118</v>
      </c>
      <c r="T97" s="48"/>
      <c r="U97" s="48"/>
      <c r="V97" s="51"/>
      <c r="W97" s="48"/>
      <c r="X97" s="48"/>
      <c r="Y97" s="48"/>
      <c r="Z97" s="52"/>
      <c r="AA97" s="48"/>
      <c r="AB97" s="48"/>
      <c r="AC97" s="48"/>
      <c r="AD97" s="48" t="s">
        <v>1512</v>
      </c>
      <c r="AE97" s="51"/>
      <c r="AF97" s="51"/>
      <c r="AG97" s="55"/>
      <c r="AH97" s="51"/>
      <c r="AI97" s="51"/>
      <c r="AJ97" s="55"/>
      <c r="AK97" s="51"/>
      <c r="AL97" s="51"/>
      <c r="AM97" s="48"/>
      <c r="AN97" s="51"/>
      <c r="AO97" s="48"/>
      <c r="AP97" s="48"/>
      <c r="AQ97" s="48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</row>
    <row r="98" spans="1:64" ht="12.75">
      <c r="A98" s="27"/>
      <c r="B98" s="27"/>
      <c r="C98" s="28"/>
      <c r="D98" s="28">
        <f t="shared" si="1"/>
        <v>0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</row>
    <row r="99" spans="1:64" ht="12.75">
      <c r="A99" s="27"/>
      <c r="B99" s="27"/>
      <c r="C99" s="28"/>
      <c r="D99" s="28">
        <f t="shared" si="1"/>
        <v>0</v>
      </c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</row>
    <row r="100" spans="1:64" ht="12.75">
      <c r="A100" s="29" t="s">
        <v>1513</v>
      </c>
      <c r="B100" s="29"/>
      <c r="C100" s="30"/>
      <c r="D100" s="30">
        <f t="shared" si="1"/>
        <v>0</v>
      </c>
      <c r="E100" s="30">
        <f>SUM(C101:C112)</f>
        <v>1266</v>
      </c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</row>
    <row r="101" spans="1:64" ht="26.25" customHeight="1">
      <c r="A101" s="31">
        <v>71</v>
      </c>
      <c r="B101" s="122">
        <v>53</v>
      </c>
      <c r="C101" s="64">
        <v>100</v>
      </c>
      <c r="D101" s="64">
        <f t="shared" si="1"/>
        <v>53</v>
      </c>
      <c r="E101" s="64"/>
      <c r="F101" s="64"/>
      <c r="G101" s="64"/>
      <c r="H101" s="64"/>
      <c r="I101" s="65"/>
      <c r="J101" s="86"/>
      <c r="K101" s="64"/>
      <c r="L101" s="64"/>
      <c r="M101" s="64"/>
      <c r="N101" s="64"/>
      <c r="O101" s="64"/>
      <c r="P101" s="123"/>
      <c r="Q101" s="86"/>
      <c r="R101" s="64" t="s">
        <v>624</v>
      </c>
      <c r="S101" s="64" t="s">
        <v>617</v>
      </c>
      <c r="T101" s="64"/>
      <c r="U101" s="64"/>
      <c r="V101" s="64"/>
      <c r="W101" s="64"/>
      <c r="X101" s="64"/>
      <c r="Y101" s="64"/>
      <c r="Z101" s="65"/>
      <c r="AA101" s="64"/>
      <c r="AB101" s="64"/>
      <c r="AC101" s="64"/>
      <c r="AD101" s="64" t="s">
        <v>620</v>
      </c>
      <c r="AE101" s="86"/>
      <c r="AF101" s="86"/>
      <c r="AG101" s="87"/>
      <c r="AH101" s="87"/>
      <c r="AI101" s="86"/>
      <c r="AJ101" s="87"/>
      <c r="AK101" s="87"/>
      <c r="AL101" s="86"/>
      <c r="AM101" s="64"/>
      <c r="AN101" s="86"/>
      <c r="AO101" s="64"/>
      <c r="AP101" s="64"/>
      <c r="AQ101" s="64"/>
      <c r="AR101" s="86"/>
      <c r="AS101" s="86"/>
      <c r="AT101" s="86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64"/>
      <c r="BI101" s="89"/>
      <c r="BJ101" s="89"/>
      <c r="BK101" s="89"/>
      <c r="BL101" s="89"/>
    </row>
    <row r="102" spans="1:64" ht="23.25" customHeight="1">
      <c r="A102" s="42">
        <v>95</v>
      </c>
      <c r="B102" s="67">
        <v>54</v>
      </c>
      <c r="C102" s="44">
        <v>101</v>
      </c>
      <c r="D102" s="44">
        <f t="shared" si="1"/>
        <v>54</v>
      </c>
      <c r="E102" s="44"/>
      <c r="F102" s="44"/>
      <c r="G102" s="44"/>
      <c r="H102" s="44"/>
      <c r="I102" s="44"/>
      <c r="J102" s="45"/>
      <c r="K102" s="44"/>
      <c r="L102" s="44"/>
      <c r="M102" s="44"/>
      <c r="N102" s="44"/>
      <c r="O102" s="44"/>
      <c r="P102" s="44"/>
      <c r="Q102" s="45"/>
      <c r="R102" s="44" t="s">
        <v>773</v>
      </c>
      <c r="S102" s="44" t="s">
        <v>774</v>
      </c>
      <c r="T102" s="44"/>
      <c r="U102" s="44"/>
      <c r="V102" s="45"/>
      <c r="W102" s="44"/>
      <c r="X102" s="44"/>
      <c r="Y102" s="44"/>
      <c r="Z102" s="46"/>
      <c r="AA102" s="44"/>
      <c r="AB102" s="44"/>
      <c r="AC102" s="44"/>
      <c r="AD102" s="44" t="s">
        <v>1419</v>
      </c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4"/>
      <c r="AP102" s="44"/>
      <c r="AQ102" s="44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</row>
    <row r="103" spans="1:64" ht="23.25" customHeight="1">
      <c r="A103" s="42">
        <v>138</v>
      </c>
      <c r="B103" s="124">
        <v>55</v>
      </c>
      <c r="C103" s="44">
        <v>102</v>
      </c>
      <c r="D103" s="44">
        <f t="shared" si="1"/>
        <v>55</v>
      </c>
      <c r="E103" s="44"/>
      <c r="F103" s="44"/>
      <c r="G103" s="44"/>
      <c r="H103" s="44"/>
      <c r="I103" s="125"/>
      <c r="J103" s="45"/>
      <c r="K103" s="44"/>
      <c r="L103" s="44"/>
      <c r="M103" s="44"/>
      <c r="N103" s="44"/>
      <c r="O103" s="44"/>
      <c r="P103" s="44"/>
      <c r="Q103" s="45"/>
      <c r="R103" s="44" t="s">
        <v>1089</v>
      </c>
      <c r="S103" s="44" t="s">
        <v>1073</v>
      </c>
      <c r="T103" s="44"/>
      <c r="U103" s="44"/>
      <c r="V103" s="45"/>
      <c r="W103" s="44"/>
      <c r="X103" s="44"/>
      <c r="Y103" s="44"/>
      <c r="Z103" s="46"/>
      <c r="AA103" s="44"/>
      <c r="AB103" s="44"/>
      <c r="AC103" s="44"/>
      <c r="AD103" s="44" t="s">
        <v>1173</v>
      </c>
      <c r="AE103" s="45"/>
      <c r="AF103" s="45"/>
      <c r="AG103" s="68"/>
      <c r="AH103" s="45"/>
      <c r="AI103" s="45"/>
      <c r="AJ103" s="68"/>
      <c r="AK103" s="45"/>
      <c r="AL103" s="45"/>
      <c r="AM103" s="44"/>
      <c r="AN103" s="45"/>
      <c r="AO103" s="44"/>
      <c r="AP103" s="44"/>
      <c r="AQ103" s="44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</row>
    <row r="104" spans="1:64" ht="23.25" customHeight="1">
      <c r="A104" s="126">
        <v>5</v>
      </c>
      <c r="B104" s="122">
        <v>56</v>
      </c>
      <c r="C104" s="127">
        <v>103</v>
      </c>
      <c r="D104" s="128">
        <f t="shared" si="1"/>
        <v>56</v>
      </c>
      <c r="E104" s="128"/>
      <c r="F104" s="128"/>
      <c r="G104" s="128"/>
      <c r="H104" s="128"/>
      <c r="I104" s="129"/>
      <c r="J104" s="128"/>
      <c r="K104" s="128"/>
      <c r="L104" s="128"/>
      <c r="M104" s="128"/>
      <c r="N104" s="128"/>
      <c r="O104" s="128"/>
      <c r="P104" s="130"/>
      <c r="Q104" s="128"/>
      <c r="R104" s="128" t="s">
        <v>96</v>
      </c>
      <c r="S104" s="128" t="s">
        <v>91</v>
      </c>
      <c r="T104" s="128"/>
      <c r="U104" s="128"/>
      <c r="V104" s="128"/>
      <c r="W104" s="131"/>
      <c r="X104" s="132"/>
      <c r="Y104" s="131"/>
      <c r="Z104" s="133"/>
      <c r="AA104" s="128"/>
      <c r="AB104" s="128"/>
      <c r="AC104" s="128"/>
      <c r="AD104" s="128" t="s">
        <v>1479</v>
      </c>
      <c r="AE104" s="128"/>
      <c r="AF104" s="128"/>
      <c r="AG104" s="134"/>
      <c r="AH104" s="128"/>
      <c r="AI104" s="128"/>
      <c r="AJ104" s="134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</row>
    <row r="105" spans="1:64" ht="23.25" customHeight="1">
      <c r="A105" s="42">
        <v>96</v>
      </c>
      <c r="B105" s="67">
        <v>57</v>
      </c>
      <c r="C105" s="44">
        <v>104</v>
      </c>
      <c r="D105" s="44">
        <f t="shared" si="1"/>
        <v>57</v>
      </c>
      <c r="E105" s="44"/>
      <c r="F105" s="44"/>
      <c r="G105" s="44"/>
      <c r="H105" s="44"/>
      <c r="I105" s="44"/>
      <c r="J105" s="45"/>
      <c r="K105" s="44"/>
      <c r="L105" s="44"/>
      <c r="M105" s="44"/>
      <c r="N105" s="44"/>
      <c r="O105" s="44"/>
      <c r="P105" s="44"/>
      <c r="Q105" s="45"/>
      <c r="R105" s="44" t="s">
        <v>778</v>
      </c>
      <c r="S105" s="44" t="s">
        <v>774</v>
      </c>
      <c r="T105" s="44"/>
      <c r="U105" s="44"/>
      <c r="V105" s="45"/>
      <c r="W105" s="44"/>
      <c r="X105" s="44"/>
      <c r="Y105" s="44"/>
      <c r="Z105" s="46"/>
      <c r="AA105" s="44"/>
      <c r="AB105" s="44"/>
      <c r="AC105" s="44"/>
      <c r="AD105" s="44" t="s">
        <v>1419</v>
      </c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4"/>
      <c r="AP105" s="44"/>
      <c r="AQ105" s="44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</row>
    <row r="106" spans="1:64" ht="23.25" customHeight="1">
      <c r="A106" s="69">
        <v>60</v>
      </c>
      <c r="B106" s="124">
        <v>58</v>
      </c>
      <c r="C106" s="40">
        <v>105</v>
      </c>
      <c r="D106" s="40">
        <f t="shared" si="1"/>
        <v>58</v>
      </c>
      <c r="E106" s="40"/>
      <c r="F106" s="40"/>
      <c r="G106" s="40"/>
      <c r="H106" s="40"/>
      <c r="I106" s="41"/>
      <c r="J106" s="80"/>
      <c r="K106" s="40"/>
      <c r="L106" s="40"/>
      <c r="M106" s="40"/>
      <c r="N106" s="40"/>
      <c r="O106" s="40"/>
      <c r="P106" s="40"/>
      <c r="Q106" s="80"/>
      <c r="R106" s="40" t="s">
        <v>531</v>
      </c>
      <c r="S106" s="40" t="s">
        <v>532</v>
      </c>
      <c r="T106" s="40"/>
      <c r="U106" s="40"/>
      <c r="V106" s="80"/>
      <c r="W106" s="40"/>
      <c r="X106" s="40"/>
      <c r="Y106" s="40"/>
      <c r="Z106" s="41"/>
      <c r="AA106" s="40"/>
      <c r="AB106" s="40"/>
      <c r="AC106" s="40"/>
      <c r="AD106" s="40" t="s">
        <v>1520</v>
      </c>
      <c r="AE106" s="80"/>
      <c r="AF106" s="80"/>
      <c r="AG106" s="82"/>
      <c r="AH106" s="80"/>
      <c r="AI106" s="80"/>
      <c r="AJ106" s="82"/>
      <c r="AK106" s="80"/>
      <c r="AL106" s="80"/>
      <c r="AM106" s="40"/>
      <c r="AN106" s="80"/>
      <c r="AO106" s="40"/>
      <c r="AP106" s="40"/>
      <c r="AQ106" s="40"/>
      <c r="AR106" s="80"/>
      <c r="AS106" s="80"/>
      <c r="AT106" s="80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40"/>
      <c r="BI106" s="84"/>
      <c r="BJ106" s="84"/>
      <c r="BK106" s="84"/>
      <c r="BL106" s="84"/>
    </row>
    <row r="107" spans="1:64" ht="23.25" customHeight="1">
      <c r="A107" s="44">
        <v>174</v>
      </c>
      <c r="B107" s="122">
        <v>59</v>
      </c>
      <c r="C107" s="44">
        <v>106</v>
      </c>
      <c r="D107" s="44">
        <f t="shared" si="1"/>
        <v>59</v>
      </c>
      <c r="E107" s="44"/>
      <c r="F107" s="44"/>
      <c r="G107" s="44"/>
      <c r="H107" s="44"/>
      <c r="I107" s="44"/>
      <c r="J107" s="45"/>
      <c r="K107" s="44"/>
      <c r="L107" s="44"/>
      <c r="M107" s="44"/>
      <c r="N107" s="45"/>
      <c r="O107" s="45"/>
      <c r="P107" s="45"/>
      <c r="Q107" s="45"/>
      <c r="R107" s="44" t="s">
        <v>1318</v>
      </c>
      <c r="S107" s="44" t="s">
        <v>1319</v>
      </c>
      <c r="T107" s="44"/>
      <c r="U107" s="44"/>
      <c r="V107" s="45"/>
      <c r="W107" s="44"/>
      <c r="X107" s="44"/>
      <c r="Y107" s="44"/>
      <c r="Z107" s="46"/>
      <c r="AA107" s="44"/>
      <c r="AB107" s="44"/>
      <c r="AC107" s="44"/>
      <c r="AD107" s="44" t="s">
        <v>1322</v>
      </c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4"/>
      <c r="AP107" s="44"/>
      <c r="AQ107" s="44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</row>
    <row r="108" spans="1:64" ht="23.25" customHeight="1">
      <c r="A108" s="69">
        <v>48</v>
      </c>
      <c r="B108" s="67">
        <v>60</v>
      </c>
      <c r="C108" s="127">
        <v>107</v>
      </c>
      <c r="D108" s="44">
        <f t="shared" si="1"/>
        <v>60</v>
      </c>
      <c r="E108" s="44"/>
      <c r="F108" s="44"/>
      <c r="G108" s="44"/>
      <c r="H108" s="44"/>
      <c r="I108" s="46"/>
      <c r="J108" s="49"/>
      <c r="K108" s="44"/>
      <c r="L108" s="44"/>
      <c r="M108" s="44"/>
      <c r="N108" s="44"/>
      <c r="O108" s="49"/>
      <c r="P108" s="44"/>
      <c r="Q108" s="49"/>
      <c r="R108" s="44" t="s">
        <v>444</v>
      </c>
      <c r="S108" s="44" t="s">
        <v>433</v>
      </c>
      <c r="T108" s="44"/>
      <c r="U108" s="44"/>
      <c r="V108" s="49"/>
      <c r="W108" s="44"/>
      <c r="X108" s="44"/>
      <c r="Y108" s="44"/>
      <c r="Z108" s="46"/>
      <c r="AA108" s="44"/>
      <c r="AB108" s="44"/>
      <c r="AC108" s="44"/>
      <c r="AD108" s="44" t="s">
        <v>1437</v>
      </c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4"/>
      <c r="AP108" s="44"/>
      <c r="AQ108" s="44"/>
      <c r="AR108" s="49"/>
      <c r="AS108" s="49"/>
      <c r="AT108" s="49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44"/>
      <c r="BI108" s="45"/>
      <c r="BJ108" s="45"/>
      <c r="BK108" s="45"/>
      <c r="BL108" s="45"/>
    </row>
    <row r="109" spans="1:64" ht="23.25" customHeight="1">
      <c r="A109" s="69">
        <v>49</v>
      </c>
      <c r="B109" s="124">
        <v>61</v>
      </c>
      <c r="C109" s="44">
        <v>108</v>
      </c>
      <c r="D109" s="56">
        <f t="shared" si="1"/>
        <v>61</v>
      </c>
      <c r="E109" s="56"/>
      <c r="F109" s="56"/>
      <c r="G109" s="56"/>
      <c r="H109" s="56"/>
      <c r="I109" s="59"/>
      <c r="J109" s="104"/>
      <c r="K109" s="56"/>
      <c r="L109" s="56"/>
      <c r="M109" s="56"/>
      <c r="N109" s="56"/>
      <c r="O109" s="104"/>
      <c r="P109" s="56"/>
      <c r="Q109" s="104"/>
      <c r="R109" s="56" t="s">
        <v>448</v>
      </c>
      <c r="S109" s="56" t="s">
        <v>433</v>
      </c>
      <c r="T109" s="56"/>
      <c r="U109" s="56"/>
      <c r="V109" s="104"/>
      <c r="W109" s="56"/>
      <c r="X109" s="56"/>
      <c r="Y109" s="56"/>
      <c r="Z109" s="59"/>
      <c r="AA109" s="56"/>
      <c r="AB109" s="56"/>
      <c r="AC109" s="56"/>
      <c r="AD109" s="56" t="s">
        <v>1437</v>
      </c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56"/>
      <c r="AP109" s="56"/>
      <c r="AQ109" s="56"/>
      <c r="AR109" s="104"/>
      <c r="AS109" s="104"/>
      <c r="AT109" s="104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6"/>
      <c r="BI109" s="61"/>
      <c r="BJ109" s="61"/>
      <c r="BK109" s="61"/>
      <c r="BL109" s="61"/>
    </row>
    <row r="110" spans="1:64" ht="23.25" customHeight="1">
      <c r="A110" s="42">
        <v>76</v>
      </c>
      <c r="B110" s="122">
        <v>62</v>
      </c>
      <c r="C110" s="40">
        <v>109</v>
      </c>
      <c r="D110" s="56">
        <f t="shared" si="1"/>
        <v>62</v>
      </c>
      <c r="E110" s="56"/>
      <c r="F110" s="56"/>
      <c r="G110" s="56"/>
      <c r="H110" s="56"/>
      <c r="I110" s="56"/>
      <c r="J110" s="104"/>
      <c r="K110" s="56"/>
      <c r="L110" s="56"/>
      <c r="M110" s="56"/>
      <c r="N110" s="56"/>
      <c r="O110" s="56"/>
      <c r="P110" s="56"/>
      <c r="Q110" s="104"/>
      <c r="R110" s="56" t="s">
        <v>665</v>
      </c>
      <c r="S110" s="56" t="s">
        <v>661</v>
      </c>
      <c r="T110" s="56"/>
      <c r="U110" s="56"/>
      <c r="V110" s="104"/>
      <c r="W110" s="56"/>
      <c r="X110" s="56"/>
      <c r="Y110" s="56"/>
      <c r="Z110" s="59"/>
      <c r="AA110" s="56"/>
      <c r="AB110" s="56"/>
      <c r="AC110" s="56"/>
      <c r="AD110" s="56" t="s">
        <v>759</v>
      </c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56"/>
      <c r="AP110" s="56"/>
      <c r="AQ110" s="56"/>
      <c r="AR110" s="104"/>
      <c r="AS110" s="104"/>
      <c r="AT110" s="104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6"/>
      <c r="BI110" s="61"/>
      <c r="BJ110" s="61"/>
      <c r="BK110" s="61"/>
      <c r="BL110" s="61"/>
    </row>
    <row r="111" spans="1:64" ht="23.25" customHeight="1">
      <c r="A111" s="119">
        <v>36</v>
      </c>
      <c r="B111" s="67">
        <v>63</v>
      </c>
      <c r="C111" s="44">
        <v>110</v>
      </c>
      <c r="D111" s="64">
        <f t="shared" si="1"/>
        <v>63</v>
      </c>
      <c r="E111" s="64"/>
      <c r="F111" s="64"/>
      <c r="G111" s="64"/>
      <c r="H111" s="64"/>
      <c r="I111" s="64"/>
      <c r="J111" s="86"/>
      <c r="K111" s="64"/>
      <c r="L111" s="64"/>
      <c r="M111" s="64"/>
      <c r="N111" s="64"/>
      <c r="O111" s="64"/>
      <c r="P111" s="64"/>
      <c r="Q111" s="86"/>
      <c r="R111" s="64" t="s">
        <v>364</v>
      </c>
      <c r="S111" s="64" t="s">
        <v>358</v>
      </c>
      <c r="T111" s="64"/>
      <c r="U111" s="64"/>
      <c r="V111" s="86"/>
      <c r="W111" s="64"/>
      <c r="X111" s="64"/>
      <c r="Y111" s="64"/>
      <c r="Z111" s="65"/>
      <c r="AA111" s="64"/>
      <c r="AB111" s="64"/>
      <c r="AC111" s="81"/>
      <c r="AD111" s="81" t="s">
        <v>1488</v>
      </c>
      <c r="AE111" s="86"/>
      <c r="AF111" s="86"/>
      <c r="AG111" s="87"/>
      <c r="AH111" s="86"/>
      <c r="AI111" s="86"/>
      <c r="AJ111" s="87"/>
      <c r="AK111" s="87"/>
      <c r="AL111" s="87"/>
      <c r="AM111" s="64"/>
      <c r="AN111" s="86"/>
      <c r="AO111" s="64"/>
      <c r="AP111" s="64"/>
      <c r="AQ111" s="64"/>
      <c r="AR111" s="86"/>
      <c r="AS111" s="86"/>
      <c r="AT111" s="86"/>
      <c r="AU111" s="64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64"/>
      <c r="BI111" s="64"/>
      <c r="BJ111" s="64"/>
      <c r="BK111" s="64"/>
      <c r="BL111" s="64"/>
    </row>
    <row r="112" spans="1:64" ht="23.25" customHeight="1">
      <c r="A112" s="85">
        <v>58</v>
      </c>
      <c r="B112" s="124">
        <v>64</v>
      </c>
      <c r="C112" s="127">
        <v>111</v>
      </c>
      <c r="D112" s="64">
        <f t="shared" si="1"/>
        <v>64</v>
      </c>
      <c r="E112" s="64"/>
      <c r="F112" s="64"/>
      <c r="G112" s="64"/>
      <c r="H112" s="64"/>
      <c r="I112" s="90"/>
      <c r="J112" s="86"/>
      <c r="K112" s="64"/>
      <c r="L112" s="64"/>
      <c r="M112" s="64"/>
      <c r="N112" s="64"/>
      <c r="O112" s="64"/>
      <c r="P112" s="64"/>
      <c r="Q112" s="86"/>
      <c r="R112" s="64" t="s">
        <v>513</v>
      </c>
      <c r="S112" s="64" t="s">
        <v>200</v>
      </c>
      <c r="T112" s="64"/>
      <c r="U112" s="64"/>
      <c r="V112" s="86"/>
      <c r="W112" s="64"/>
      <c r="X112" s="64"/>
      <c r="Y112" s="64"/>
      <c r="Z112" s="65"/>
      <c r="AA112" s="64"/>
      <c r="AB112" s="64"/>
      <c r="AC112" s="64"/>
      <c r="AD112" s="64" t="s">
        <v>1525</v>
      </c>
      <c r="AE112" s="86"/>
      <c r="AF112" s="86"/>
      <c r="AG112" s="87"/>
      <c r="AH112" s="86"/>
      <c r="AI112" s="86"/>
      <c r="AJ112" s="87"/>
      <c r="AK112" s="87"/>
      <c r="AL112" s="87"/>
      <c r="AM112" s="64"/>
      <c r="AN112" s="86"/>
      <c r="AO112" s="64"/>
      <c r="AP112" s="64"/>
      <c r="AQ112" s="64"/>
      <c r="AR112" s="86"/>
      <c r="AS112" s="86"/>
      <c r="AT112" s="86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64"/>
      <c r="BI112" s="89"/>
      <c r="BJ112" s="89"/>
      <c r="BK112" s="89"/>
      <c r="BL112" s="89"/>
    </row>
    <row r="113" spans="1:64" ht="12.75">
      <c r="A113" s="27"/>
      <c r="B113" s="27"/>
      <c r="C113" s="28"/>
      <c r="D113" s="28">
        <f t="shared" si="1"/>
        <v>0</v>
      </c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</row>
    <row r="114" spans="1:64" ht="12.75">
      <c r="A114" s="29" t="s">
        <v>1526</v>
      </c>
      <c r="B114" s="29"/>
      <c r="C114" s="30"/>
      <c r="D114" s="30">
        <f t="shared" si="1"/>
        <v>0</v>
      </c>
      <c r="E114" s="30">
        <f>SUM(C115:C120)</f>
        <v>339</v>
      </c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</row>
    <row r="115" spans="1:64" ht="23.25" customHeight="1">
      <c r="A115" s="42">
        <v>139</v>
      </c>
      <c r="B115" s="67">
        <v>65</v>
      </c>
      <c r="C115" s="44">
        <v>112</v>
      </c>
      <c r="D115" s="44">
        <f t="shared" si="1"/>
        <v>65</v>
      </c>
      <c r="E115" s="44"/>
      <c r="F115" s="44"/>
      <c r="G115" s="44"/>
      <c r="H115" s="44"/>
      <c r="I115" s="125"/>
      <c r="J115" s="45"/>
      <c r="K115" s="44"/>
      <c r="L115" s="44"/>
      <c r="M115" s="44"/>
      <c r="N115" s="44"/>
      <c r="O115" s="44"/>
      <c r="P115" s="44"/>
      <c r="Q115" s="45"/>
      <c r="R115" s="44" t="s">
        <v>1092</v>
      </c>
      <c r="S115" s="44" t="s">
        <v>1073</v>
      </c>
      <c r="T115" s="44"/>
      <c r="U115" s="44"/>
      <c r="V115" s="45"/>
      <c r="W115" s="44"/>
      <c r="X115" s="44"/>
      <c r="Y115" s="44"/>
      <c r="Z115" s="46"/>
      <c r="AA115" s="44"/>
      <c r="AB115" s="44"/>
      <c r="AC115" s="44"/>
      <c r="AD115" s="44" t="s">
        <v>1173</v>
      </c>
      <c r="AE115" s="45"/>
      <c r="AF115" s="45"/>
      <c r="AG115" s="68"/>
      <c r="AH115" s="45"/>
      <c r="AI115" s="45"/>
      <c r="AJ115" s="68"/>
      <c r="AK115" s="45"/>
      <c r="AL115" s="45"/>
      <c r="AM115" s="44"/>
      <c r="AN115" s="45"/>
      <c r="AO115" s="44"/>
      <c r="AP115" s="44"/>
      <c r="AQ115" s="44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</row>
    <row r="116" spans="1:64" ht="23.25" customHeight="1">
      <c r="A116" s="31">
        <v>145</v>
      </c>
      <c r="B116" s="63">
        <v>66</v>
      </c>
      <c r="C116" s="48">
        <v>113</v>
      </c>
      <c r="D116" s="48">
        <f t="shared" si="1"/>
        <v>66</v>
      </c>
      <c r="E116" s="48"/>
      <c r="F116" s="48"/>
      <c r="G116" s="48"/>
      <c r="H116" s="48"/>
      <c r="I116" s="54"/>
      <c r="J116" s="51"/>
      <c r="K116" s="48"/>
      <c r="L116" s="48"/>
      <c r="M116" s="48"/>
      <c r="N116" s="48"/>
      <c r="O116" s="48"/>
      <c r="P116" s="48"/>
      <c r="Q116" s="51"/>
      <c r="R116" s="48" t="s">
        <v>1122</v>
      </c>
      <c r="S116" s="48" t="s">
        <v>1118</v>
      </c>
      <c r="T116" s="48"/>
      <c r="U116" s="48"/>
      <c r="V116" s="51"/>
      <c r="W116" s="48"/>
      <c r="X116" s="48"/>
      <c r="Y116" s="48"/>
      <c r="Z116" s="52"/>
      <c r="AA116" s="48"/>
      <c r="AB116" s="48"/>
      <c r="AC116" s="48"/>
      <c r="AD116" s="48" t="s">
        <v>1512</v>
      </c>
      <c r="AE116" s="51"/>
      <c r="AF116" s="51"/>
      <c r="AG116" s="55"/>
      <c r="AH116" s="51"/>
      <c r="AI116" s="51"/>
      <c r="AJ116" s="55"/>
      <c r="AK116" s="51"/>
      <c r="AL116" s="51"/>
      <c r="AM116" s="48"/>
      <c r="AN116" s="51"/>
      <c r="AO116" s="48"/>
      <c r="AP116" s="48"/>
      <c r="AQ116" s="48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</row>
    <row r="117" spans="1:64" ht="23.25" customHeight="1">
      <c r="A117" s="85">
        <v>51</v>
      </c>
      <c r="B117" s="63">
        <v>67</v>
      </c>
      <c r="C117" s="135">
        <v>114</v>
      </c>
      <c r="D117" s="135">
        <f t="shared" si="1"/>
        <v>67</v>
      </c>
      <c r="E117" s="135"/>
      <c r="F117" s="135"/>
      <c r="G117" s="135"/>
      <c r="H117" s="135"/>
      <c r="I117" s="136"/>
      <c r="J117" s="137"/>
      <c r="K117" s="135"/>
      <c r="L117" s="135"/>
      <c r="M117" s="135"/>
      <c r="N117" s="135"/>
      <c r="O117" s="135"/>
      <c r="P117" s="135"/>
      <c r="Q117" s="137"/>
      <c r="R117" s="135" t="s">
        <v>461</v>
      </c>
      <c r="S117" s="135" t="s">
        <v>462</v>
      </c>
      <c r="T117" s="135"/>
      <c r="U117" s="135"/>
      <c r="V117" s="137"/>
      <c r="W117" s="135"/>
      <c r="X117" s="135"/>
      <c r="Y117" s="135"/>
      <c r="Z117" s="138"/>
      <c r="AA117" s="135"/>
      <c r="AB117" s="135"/>
      <c r="AC117" s="135"/>
      <c r="AD117" s="135" t="s">
        <v>1530</v>
      </c>
      <c r="AE117" s="137"/>
      <c r="AF117" s="137"/>
      <c r="AG117" s="139"/>
      <c r="AH117" s="137"/>
      <c r="AI117" s="137"/>
      <c r="AJ117" s="139"/>
      <c r="AK117" s="137"/>
      <c r="AL117" s="137"/>
      <c r="AM117" s="135"/>
      <c r="AN117" s="137"/>
      <c r="AO117" s="135"/>
      <c r="AP117" s="135"/>
      <c r="AQ117" s="135"/>
      <c r="AR117" s="137"/>
      <c r="AS117" s="137"/>
      <c r="AT117" s="137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35"/>
      <c r="BI117" s="141"/>
      <c r="BJ117" s="141"/>
      <c r="BK117" s="141"/>
      <c r="BL117" s="141"/>
    </row>
    <row r="118" spans="1:64" ht="12.75">
      <c r="A118" s="27"/>
      <c r="B118" s="27"/>
      <c r="C118" s="28"/>
      <c r="D118" s="28">
        <f t="shared" si="1"/>
        <v>0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</row>
    <row r="119" spans="1:64" ht="12.75">
      <c r="A119" s="27"/>
      <c r="B119" s="27"/>
      <c r="C119" s="28"/>
      <c r="D119" s="28">
        <f t="shared" si="1"/>
        <v>0</v>
      </c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</row>
    <row r="120" spans="1:64" ht="12.75">
      <c r="A120" s="27"/>
      <c r="B120" s="27"/>
      <c r="C120" s="28"/>
      <c r="D120" s="28">
        <f t="shared" si="1"/>
        <v>0</v>
      </c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</row>
    <row r="121" spans="1:64" ht="12.75">
      <c r="A121" s="29" t="s">
        <v>1531</v>
      </c>
      <c r="B121" s="29"/>
      <c r="C121" s="30"/>
      <c r="D121" s="30">
        <f t="shared" si="1"/>
        <v>0</v>
      </c>
      <c r="E121" s="30">
        <f>SUM(C122:C133)</f>
        <v>675</v>
      </c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</row>
    <row r="122" spans="1:64" ht="23.25" customHeight="1">
      <c r="A122" s="85">
        <v>55</v>
      </c>
      <c r="B122" s="32">
        <v>30</v>
      </c>
      <c r="C122" s="64">
        <v>63</v>
      </c>
      <c r="D122" s="64">
        <f t="shared" si="1"/>
        <v>30</v>
      </c>
      <c r="E122" s="64"/>
      <c r="F122" s="64"/>
      <c r="G122" s="64"/>
      <c r="H122" s="64"/>
      <c r="I122" s="90"/>
      <c r="J122" s="86"/>
      <c r="K122" s="64"/>
      <c r="L122" s="64"/>
      <c r="M122" s="64"/>
      <c r="N122" s="64"/>
      <c r="O122" s="64"/>
      <c r="P122" s="64"/>
      <c r="Q122" s="86"/>
      <c r="R122" s="64" t="s">
        <v>494</v>
      </c>
      <c r="S122" s="64" t="s">
        <v>484</v>
      </c>
      <c r="T122" s="64"/>
      <c r="U122" s="64"/>
      <c r="V122" s="86"/>
      <c r="W122" s="64"/>
      <c r="X122" s="64"/>
      <c r="Y122" s="64"/>
      <c r="Z122" s="65"/>
      <c r="AA122" s="64"/>
      <c r="AB122" s="64"/>
      <c r="AC122" s="64"/>
      <c r="AD122" s="64" t="s">
        <v>1533</v>
      </c>
      <c r="AE122" s="86"/>
      <c r="AF122" s="86"/>
      <c r="AG122" s="87"/>
      <c r="AH122" s="86"/>
      <c r="AI122" s="86"/>
      <c r="AJ122" s="87"/>
      <c r="AK122" s="86"/>
      <c r="AL122" s="86"/>
      <c r="AM122" s="64"/>
      <c r="AN122" s="86"/>
      <c r="AO122" s="64"/>
      <c r="AP122" s="64"/>
      <c r="AQ122" s="64"/>
      <c r="AR122" s="86"/>
      <c r="AS122" s="86"/>
      <c r="AT122" s="86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64"/>
      <c r="BI122" s="89"/>
      <c r="BJ122" s="89"/>
      <c r="BK122" s="89"/>
      <c r="BL122" s="89"/>
    </row>
    <row r="123" spans="1:64" ht="23.25" customHeight="1">
      <c r="A123" s="62">
        <v>13</v>
      </c>
      <c r="B123" s="32">
        <v>31</v>
      </c>
      <c r="C123" s="64">
        <v>64</v>
      </c>
      <c r="D123" s="64">
        <f t="shared" si="1"/>
        <v>31</v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 t="s">
        <v>171</v>
      </c>
      <c r="S123" s="64" t="s">
        <v>165</v>
      </c>
      <c r="T123" s="64"/>
      <c r="U123" s="64"/>
      <c r="V123" s="64"/>
      <c r="W123" s="64"/>
      <c r="X123" s="64"/>
      <c r="Y123" s="64"/>
      <c r="Z123" s="65"/>
      <c r="AA123" s="64"/>
      <c r="AB123" s="64"/>
      <c r="AC123" s="64"/>
      <c r="AD123" s="64" t="s">
        <v>1535</v>
      </c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</row>
    <row r="124" spans="1:64" ht="23.25" customHeight="1">
      <c r="A124" s="31">
        <v>69</v>
      </c>
      <c r="B124" s="32">
        <v>32</v>
      </c>
      <c r="C124" s="64">
        <v>65</v>
      </c>
      <c r="D124" s="64">
        <f t="shared" si="1"/>
        <v>32</v>
      </c>
      <c r="E124" s="64"/>
      <c r="F124" s="64"/>
      <c r="G124" s="64"/>
      <c r="H124" s="64"/>
      <c r="I124" s="65"/>
      <c r="J124" s="86"/>
      <c r="K124" s="64"/>
      <c r="L124" s="64"/>
      <c r="M124" s="64"/>
      <c r="N124" s="64"/>
      <c r="O124" s="64"/>
      <c r="P124" s="64"/>
      <c r="Q124" s="86"/>
      <c r="R124" s="64" t="s">
        <v>1536</v>
      </c>
      <c r="S124" s="64" t="s">
        <v>607</v>
      </c>
      <c r="T124" s="64"/>
      <c r="U124" s="64"/>
      <c r="V124" s="64"/>
      <c r="W124" s="64"/>
      <c r="X124" s="64"/>
      <c r="Y124" s="64"/>
      <c r="Z124" s="65"/>
      <c r="AA124" s="64"/>
      <c r="AB124" s="64"/>
      <c r="AC124" s="64"/>
      <c r="AD124" s="64" t="s">
        <v>1538</v>
      </c>
      <c r="AE124" s="86"/>
      <c r="AF124" s="86"/>
      <c r="AG124" s="87"/>
      <c r="AH124" s="86"/>
      <c r="AI124" s="86"/>
      <c r="AJ124" s="87"/>
      <c r="AK124" s="86"/>
      <c r="AL124" s="86"/>
      <c r="AM124" s="64"/>
      <c r="AN124" s="86"/>
      <c r="AO124" s="64"/>
      <c r="AP124" s="64"/>
      <c r="AQ124" s="64"/>
      <c r="AR124" s="86"/>
      <c r="AS124" s="86"/>
      <c r="AT124" s="86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64"/>
      <c r="BI124" s="89"/>
      <c r="BJ124" s="89"/>
      <c r="BK124" s="89"/>
      <c r="BL124" s="89"/>
    </row>
    <row r="125" spans="1:64" ht="23.25" customHeight="1">
      <c r="A125" s="42">
        <v>65</v>
      </c>
      <c r="B125" s="32">
        <v>33</v>
      </c>
      <c r="C125" s="64">
        <v>66</v>
      </c>
      <c r="D125" s="64">
        <f t="shared" si="1"/>
        <v>33</v>
      </c>
      <c r="E125" s="40"/>
      <c r="F125" s="40"/>
      <c r="G125" s="40"/>
      <c r="H125" s="40"/>
      <c r="I125" s="41"/>
      <c r="J125" s="80"/>
      <c r="K125" s="40"/>
      <c r="L125" s="40"/>
      <c r="M125" s="40"/>
      <c r="N125" s="40"/>
      <c r="O125" s="40"/>
      <c r="P125" s="40"/>
      <c r="Q125" s="80"/>
      <c r="R125" s="40" t="s">
        <v>581</v>
      </c>
      <c r="S125" s="40" t="s">
        <v>582</v>
      </c>
      <c r="T125" s="40"/>
      <c r="U125" s="40"/>
      <c r="V125" s="80"/>
      <c r="W125" s="40"/>
      <c r="X125" s="40"/>
      <c r="Y125" s="40"/>
      <c r="Z125" s="41"/>
      <c r="AA125" s="40"/>
      <c r="AB125" s="40"/>
      <c r="AC125" s="40"/>
      <c r="AD125" s="40" t="s">
        <v>1541</v>
      </c>
      <c r="AE125" s="80"/>
      <c r="AF125" s="80"/>
      <c r="AG125" s="82"/>
      <c r="AH125" s="80"/>
      <c r="AI125" s="80"/>
      <c r="AJ125" s="82"/>
      <c r="AK125" s="82"/>
      <c r="AL125" s="82"/>
      <c r="AM125" s="40"/>
      <c r="AN125" s="80"/>
      <c r="AO125" s="40"/>
      <c r="AP125" s="40"/>
      <c r="AQ125" s="40"/>
      <c r="AR125" s="80"/>
      <c r="AS125" s="80"/>
      <c r="AT125" s="80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40"/>
      <c r="BI125" s="84"/>
      <c r="BJ125" s="84"/>
      <c r="BK125" s="84"/>
      <c r="BL125" s="84"/>
    </row>
    <row r="126" spans="1:64" ht="23.25" customHeight="1">
      <c r="A126" s="42">
        <v>110</v>
      </c>
      <c r="B126" s="32">
        <v>34</v>
      </c>
      <c r="C126" s="64">
        <v>67</v>
      </c>
      <c r="D126" s="48">
        <f t="shared" si="1"/>
        <v>34</v>
      </c>
      <c r="E126" s="44"/>
      <c r="F126" s="44"/>
      <c r="G126" s="44"/>
      <c r="H126" s="44"/>
      <c r="I126" s="44"/>
      <c r="J126" s="45"/>
      <c r="K126" s="44"/>
      <c r="L126" s="44"/>
      <c r="M126" s="44"/>
      <c r="N126" s="44"/>
      <c r="O126" s="44"/>
      <c r="P126" s="44"/>
      <c r="Q126" s="45"/>
      <c r="R126" s="44" t="s">
        <v>860</v>
      </c>
      <c r="S126" s="44" t="s">
        <v>861</v>
      </c>
      <c r="T126" s="44"/>
      <c r="U126" s="44"/>
      <c r="V126" s="45"/>
      <c r="W126" s="44"/>
      <c r="X126" s="44"/>
      <c r="Y126" s="44"/>
      <c r="Z126" s="46"/>
      <c r="AA126" s="44"/>
      <c r="AB126" s="44"/>
      <c r="AC126" s="44"/>
      <c r="AD126" s="44" t="s">
        <v>1545</v>
      </c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4"/>
      <c r="AP126" s="142"/>
      <c r="AQ126" s="142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</row>
    <row r="127" spans="1:64" ht="23.25" customHeight="1">
      <c r="A127" s="42">
        <v>122</v>
      </c>
      <c r="B127" s="32">
        <v>35</v>
      </c>
      <c r="C127" s="64">
        <v>68</v>
      </c>
      <c r="D127" s="48">
        <f t="shared" si="1"/>
        <v>35</v>
      </c>
      <c r="E127" s="44"/>
      <c r="F127" s="44"/>
      <c r="G127" s="44"/>
      <c r="H127" s="44"/>
      <c r="I127" s="44"/>
      <c r="J127" s="45"/>
      <c r="K127" s="44"/>
      <c r="L127" s="44"/>
      <c r="M127" s="44"/>
      <c r="N127" s="44"/>
      <c r="O127" s="45"/>
      <c r="P127" s="44"/>
      <c r="Q127" s="45"/>
      <c r="R127" s="44" t="s">
        <v>956</v>
      </c>
      <c r="S127" s="44" t="s">
        <v>935</v>
      </c>
      <c r="T127" s="44"/>
      <c r="U127" s="44"/>
      <c r="V127" s="45"/>
      <c r="W127" s="44"/>
      <c r="X127" s="44"/>
      <c r="Y127" s="44"/>
      <c r="Z127" s="46"/>
      <c r="AA127" s="44"/>
      <c r="AB127" s="44"/>
      <c r="AC127" s="44"/>
      <c r="AD127" s="44" t="s">
        <v>1547</v>
      </c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4"/>
      <c r="AP127" s="44"/>
      <c r="AQ127" s="44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</row>
    <row r="128" spans="1:64" ht="23.25" customHeight="1">
      <c r="A128" s="38">
        <v>26</v>
      </c>
      <c r="B128" s="32">
        <v>36</v>
      </c>
      <c r="C128" s="64">
        <v>69</v>
      </c>
      <c r="D128" s="64">
        <f t="shared" si="1"/>
        <v>36</v>
      </c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 t="s">
        <v>282</v>
      </c>
      <c r="S128" s="40" t="s">
        <v>283</v>
      </c>
      <c r="T128" s="40"/>
      <c r="U128" s="40"/>
      <c r="V128" s="40"/>
      <c r="W128" s="40"/>
      <c r="X128" s="40"/>
      <c r="Y128" s="40"/>
      <c r="Z128" s="41"/>
      <c r="AA128" s="40"/>
      <c r="AB128" s="40"/>
      <c r="AC128" s="40"/>
      <c r="AD128" s="40" t="s">
        <v>1550</v>
      </c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</row>
    <row r="129" spans="1:64" ht="23.25" customHeight="1">
      <c r="A129" s="38">
        <v>1</v>
      </c>
      <c r="B129" s="32">
        <v>37</v>
      </c>
      <c r="C129" s="64">
        <v>70</v>
      </c>
      <c r="D129" s="64">
        <f t="shared" si="1"/>
        <v>37</v>
      </c>
      <c r="E129" s="40"/>
      <c r="F129" s="40"/>
      <c r="G129" s="40"/>
      <c r="H129" s="40"/>
      <c r="I129" s="91"/>
      <c r="J129" s="40"/>
      <c r="K129" s="40"/>
      <c r="L129" s="40"/>
      <c r="M129" s="40"/>
      <c r="N129" s="40"/>
      <c r="O129" s="40"/>
      <c r="P129" s="40"/>
      <c r="Q129" s="40"/>
      <c r="R129" s="40" t="s">
        <v>1551</v>
      </c>
      <c r="S129" s="40" t="s">
        <v>50</v>
      </c>
      <c r="T129" s="40"/>
      <c r="U129" s="40"/>
      <c r="V129" s="40"/>
      <c r="W129" s="40"/>
      <c r="X129" s="40"/>
      <c r="Y129" s="40"/>
      <c r="Z129" s="41"/>
      <c r="AA129" s="40"/>
      <c r="AB129" s="40"/>
      <c r="AC129" s="40"/>
      <c r="AD129" s="40" t="s">
        <v>1555</v>
      </c>
      <c r="AE129" s="40"/>
      <c r="AF129" s="40"/>
      <c r="AG129" s="95"/>
      <c r="AH129" s="95"/>
      <c r="AI129" s="40"/>
      <c r="AJ129" s="95"/>
      <c r="AK129" s="95"/>
      <c r="AL129" s="95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</row>
    <row r="130" spans="1:64" ht="23.25" customHeight="1">
      <c r="A130" s="47">
        <v>32</v>
      </c>
      <c r="B130" s="32">
        <v>38</v>
      </c>
      <c r="C130" s="64">
        <v>71</v>
      </c>
      <c r="D130" s="33">
        <f t="shared" si="1"/>
        <v>38</v>
      </c>
      <c r="E130" s="56"/>
      <c r="F130" s="56"/>
      <c r="G130" s="56"/>
      <c r="H130" s="56"/>
      <c r="I130" s="56"/>
      <c r="J130" s="104"/>
      <c r="K130" s="56"/>
      <c r="L130" s="56"/>
      <c r="M130" s="56"/>
      <c r="N130" s="56"/>
      <c r="O130" s="56"/>
      <c r="P130" s="56"/>
      <c r="Q130" s="104"/>
      <c r="R130" s="56" t="s">
        <v>327</v>
      </c>
      <c r="S130" s="56" t="s">
        <v>200</v>
      </c>
      <c r="T130" s="56"/>
      <c r="U130" s="56"/>
      <c r="V130" s="104"/>
      <c r="W130" s="56"/>
      <c r="X130" s="56"/>
      <c r="Y130" s="56"/>
      <c r="Z130" s="59"/>
      <c r="AA130" s="56"/>
      <c r="AB130" s="56"/>
      <c r="AC130" s="56"/>
      <c r="AD130" s="56" t="s">
        <v>1557</v>
      </c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56"/>
      <c r="AP130" s="56"/>
      <c r="AQ130" s="56"/>
      <c r="AR130" s="104"/>
      <c r="AS130" s="104"/>
      <c r="AT130" s="104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6"/>
      <c r="BI130" s="56"/>
      <c r="BJ130" s="56"/>
      <c r="BK130" s="56"/>
      <c r="BL130" s="56"/>
    </row>
    <row r="131" spans="1:64" ht="23.25" customHeight="1">
      <c r="A131" s="85">
        <v>59</v>
      </c>
      <c r="B131" s="32">
        <v>39</v>
      </c>
      <c r="C131" s="64">
        <v>72</v>
      </c>
      <c r="D131" s="64">
        <f t="shared" si="1"/>
        <v>39</v>
      </c>
      <c r="E131" s="64"/>
      <c r="F131" s="64"/>
      <c r="G131" s="64"/>
      <c r="H131" s="64"/>
      <c r="I131" s="65"/>
      <c r="J131" s="86"/>
      <c r="K131" s="64"/>
      <c r="L131" s="64"/>
      <c r="M131" s="64"/>
      <c r="N131" s="64"/>
      <c r="O131" s="64"/>
      <c r="P131" s="64"/>
      <c r="Q131" s="86"/>
      <c r="R131" s="64" t="s">
        <v>523</v>
      </c>
      <c r="S131" s="64" t="s">
        <v>200</v>
      </c>
      <c r="T131" s="64"/>
      <c r="U131" s="64"/>
      <c r="V131" s="86"/>
      <c r="W131" s="64"/>
      <c r="X131" s="64"/>
      <c r="Y131" s="64"/>
      <c r="Z131" s="65"/>
      <c r="AA131" s="64"/>
      <c r="AB131" s="64"/>
      <c r="AC131" s="64"/>
      <c r="AD131" s="64" t="s">
        <v>1558</v>
      </c>
      <c r="AE131" s="86"/>
      <c r="AF131" s="86"/>
      <c r="AG131" s="87"/>
      <c r="AH131" s="87"/>
      <c r="AI131" s="86"/>
      <c r="AJ131" s="87"/>
      <c r="AK131" s="87"/>
      <c r="AL131" s="86"/>
      <c r="AM131" s="64"/>
      <c r="AN131" s="86"/>
      <c r="AO131" s="64"/>
      <c r="AP131" s="64"/>
      <c r="AQ131" s="64"/>
      <c r="AR131" s="86"/>
      <c r="AS131" s="86"/>
      <c r="AT131" s="86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64"/>
      <c r="BI131" s="89"/>
      <c r="BJ131" s="89"/>
      <c r="BK131" s="89"/>
      <c r="BL131" s="89"/>
    </row>
    <row r="132" spans="1:64" ht="12.75">
      <c r="A132" s="27"/>
      <c r="B132" s="27"/>
      <c r="C132" s="28"/>
      <c r="D132" s="28">
        <f t="shared" ref="D132:D195" si="2">B132</f>
        <v>0</v>
      </c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</row>
    <row r="133" spans="1:64" ht="12.75">
      <c r="A133" s="27"/>
      <c r="B133" s="27"/>
      <c r="C133" s="28"/>
      <c r="D133" s="28">
        <f t="shared" si="2"/>
        <v>0</v>
      </c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</row>
    <row r="134" spans="1:64" ht="12.75">
      <c r="A134" s="29" t="s">
        <v>1559</v>
      </c>
      <c r="B134" s="29"/>
      <c r="C134" s="30"/>
      <c r="D134" s="30">
        <f t="shared" si="2"/>
        <v>0</v>
      </c>
      <c r="E134" s="30">
        <f>SUM(C135:C140)</f>
        <v>0</v>
      </c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</row>
    <row r="135" spans="1:64" ht="12.75">
      <c r="A135" s="27"/>
      <c r="B135" s="27"/>
      <c r="C135" s="28"/>
      <c r="D135" s="28">
        <f t="shared" si="2"/>
        <v>0</v>
      </c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</row>
    <row r="136" spans="1:64" ht="12.75">
      <c r="A136" s="27"/>
      <c r="B136" s="27"/>
      <c r="C136" s="28"/>
      <c r="D136" s="28">
        <f t="shared" si="2"/>
        <v>0</v>
      </c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</row>
    <row r="137" spans="1:64" ht="12.75">
      <c r="A137" s="27"/>
      <c r="B137" s="27"/>
      <c r="C137" s="28"/>
      <c r="D137" s="28">
        <f t="shared" si="2"/>
        <v>0</v>
      </c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</row>
    <row r="138" spans="1:64" ht="12.75">
      <c r="A138" s="27"/>
      <c r="B138" s="27"/>
      <c r="C138" s="28"/>
      <c r="D138" s="28">
        <f t="shared" si="2"/>
        <v>0</v>
      </c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</row>
    <row r="139" spans="1:64" ht="12.75">
      <c r="A139" s="27"/>
      <c r="B139" s="27"/>
      <c r="C139" s="28"/>
      <c r="D139" s="28">
        <f t="shared" si="2"/>
        <v>0</v>
      </c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</row>
    <row r="140" spans="1:64" ht="12.75">
      <c r="A140" s="27"/>
      <c r="B140" s="27"/>
      <c r="C140" s="28"/>
      <c r="D140" s="28">
        <f t="shared" si="2"/>
        <v>0</v>
      </c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</row>
    <row r="141" spans="1:64" ht="12.75">
      <c r="A141" s="29" t="s">
        <v>1560</v>
      </c>
      <c r="B141" s="29"/>
      <c r="C141" s="30"/>
      <c r="D141" s="30">
        <f t="shared" si="2"/>
        <v>0</v>
      </c>
      <c r="E141" s="30">
        <f>SUM(C142:C160)</f>
        <v>1558</v>
      </c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</row>
    <row r="142" spans="1:64" ht="23.25" customHeight="1">
      <c r="A142" s="31">
        <v>132</v>
      </c>
      <c r="B142" s="63">
        <v>34</v>
      </c>
      <c r="C142" s="48">
        <v>73</v>
      </c>
      <c r="D142" s="48">
        <f t="shared" si="2"/>
        <v>34</v>
      </c>
      <c r="E142" s="48"/>
      <c r="F142" s="48"/>
      <c r="G142" s="48"/>
      <c r="H142" s="48"/>
      <c r="I142" s="48"/>
      <c r="J142" s="51"/>
      <c r="K142" s="48"/>
      <c r="L142" s="48"/>
      <c r="M142" s="48"/>
      <c r="N142" s="48"/>
      <c r="O142" s="48"/>
      <c r="P142" s="48"/>
      <c r="Q142" s="51"/>
      <c r="R142" s="48" t="s">
        <v>1041</v>
      </c>
      <c r="S142" s="48" t="s">
        <v>211</v>
      </c>
      <c r="T142" s="48" t="s">
        <v>2</v>
      </c>
      <c r="U142" s="48" t="s">
        <v>24</v>
      </c>
      <c r="V142" s="51"/>
      <c r="W142" s="48" t="s">
        <v>1561</v>
      </c>
      <c r="X142" s="48">
        <v>956000010894152</v>
      </c>
      <c r="Y142" s="48" t="s">
        <v>359</v>
      </c>
      <c r="Z142" s="52" t="s">
        <v>359</v>
      </c>
      <c r="AA142" s="48" t="s">
        <v>1042</v>
      </c>
      <c r="AB142" s="48" t="s">
        <v>853</v>
      </c>
      <c r="AC142" s="48" t="s">
        <v>1562</v>
      </c>
      <c r="AD142" s="48" t="s">
        <v>1563</v>
      </c>
      <c r="AE142" s="51"/>
      <c r="AF142" s="55" t="str">
        <f>HYPERLINK("https://drive.google.com/open?id=1EBvj-l1TBWvwQltS_S6rDOorMsKmSQsf","inbound2112992971165050821.jpg")</f>
        <v>inbound2112992971165050821.jpg</v>
      </c>
      <c r="AG142" s="55" t="str">
        <f>HYPERLINK("https://drive.google.com/open?id=1xAmTml7JfeMgSGALspAw2ibDgpPsn6Iq","inbound1089579110344670618.png")</f>
        <v>inbound1089579110344670618.png</v>
      </c>
      <c r="AH142" s="55" t="str">
        <f>HYPERLINK("https://drive.google.com/open?id=1j9hqGeuq1syQfZ1SsyFTbSVlSSidUm6K","inbound3307533239208368624.jpg")</f>
        <v>inbound3307533239208368624.jpg</v>
      </c>
      <c r="AI142" s="55" t="str">
        <f>HYPERLINK("https://drive.google.com/open?id=140uRJvyOkf2S6muUf2Y_GUmI8-3T6Jab","inbound596255327296942136.jpg")</f>
        <v>inbound596255327296942136.jpg</v>
      </c>
      <c r="AJ142" s="55" t="str">
        <f>HYPERLINK("https://drive.google.com/open?id=1S8FgyOgiqdsYFotVNSvPWVV8ULWsp28c","inbound164599621432405893.jpg")</f>
        <v>inbound164599621432405893.jpg</v>
      </c>
      <c r="AK142" s="55" t="str">
        <f>HYPERLINK("https://drive.google.com/open?id=1TQRgphqCuFbyup1yv5jwqWw6duU5_aLy","inbound6024658953819502062.jpg")</f>
        <v>inbound6024658953819502062.jpg</v>
      </c>
      <c r="AL142" s="55" t="str">
        <f>HYPERLINK("https://drive.google.com/open?id=1QkVnJkgwPFwTa0NApKvr3zX8cQowSVp4","inbound6220050518742054880.jpg")</f>
        <v>inbound6220050518742054880.jpg</v>
      </c>
      <c r="AM142" s="48" t="s">
        <v>4</v>
      </c>
      <c r="AN142" s="51"/>
      <c r="AO142" s="48" t="s">
        <v>1043</v>
      </c>
      <c r="AP142" s="48" t="s">
        <v>25</v>
      </c>
      <c r="AQ142" s="48" t="s">
        <v>25</v>
      </c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</row>
    <row r="143" spans="1:64" ht="23.25" customHeight="1">
      <c r="A143" s="62">
        <v>28</v>
      </c>
      <c r="B143" s="63">
        <v>35</v>
      </c>
      <c r="C143" s="64">
        <v>74</v>
      </c>
      <c r="D143" s="64">
        <f t="shared" si="2"/>
        <v>35</v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 t="s">
        <v>299</v>
      </c>
      <c r="S143" s="64" t="s">
        <v>300</v>
      </c>
      <c r="T143" s="64" t="s">
        <v>2</v>
      </c>
      <c r="U143" s="64" t="s">
        <v>255</v>
      </c>
      <c r="V143" s="64"/>
      <c r="W143" s="64" t="s">
        <v>1564</v>
      </c>
      <c r="X143" s="64" t="s">
        <v>301</v>
      </c>
      <c r="Y143" s="64" t="s">
        <v>359</v>
      </c>
      <c r="Z143" s="65" t="s">
        <v>359</v>
      </c>
      <c r="AA143" s="64" t="s">
        <v>302</v>
      </c>
      <c r="AB143" s="64" t="s">
        <v>303</v>
      </c>
      <c r="AC143" s="64" t="s">
        <v>1565</v>
      </c>
      <c r="AD143" s="64" t="s">
        <v>1565</v>
      </c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 t="s">
        <v>304</v>
      </c>
      <c r="AP143" s="64" t="s">
        <v>33</v>
      </c>
      <c r="AQ143" s="64" t="s">
        <v>25</v>
      </c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4"/>
      <c r="BK143" s="64"/>
      <c r="BL143" s="64"/>
    </row>
    <row r="144" spans="1:64" ht="23.25" customHeight="1">
      <c r="A144" s="31">
        <v>103</v>
      </c>
      <c r="B144" s="63">
        <v>36</v>
      </c>
      <c r="C144" s="48">
        <v>75</v>
      </c>
      <c r="D144" s="48">
        <f t="shared" si="2"/>
        <v>36</v>
      </c>
      <c r="E144" s="48"/>
      <c r="F144" s="48"/>
      <c r="G144" s="48"/>
      <c r="H144" s="48"/>
      <c r="I144" s="48"/>
      <c r="J144" s="51"/>
      <c r="K144" s="48"/>
      <c r="L144" s="48"/>
      <c r="M144" s="48"/>
      <c r="N144" s="48"/>
      <c r="O144" s="51"/>
      <c r="P144" s="48"/>
      <c r="Q144" s="51"/>
      <c r="R144" s="48" t="s">
        <v>815</v>
      </c>
      <c r="S144" s="48" t="s">
        <v>816</v>
      </c>
      <c r="T144" s="48" t="s">
        <v>2</v>
      </c>
      <c r="U144" s="48" t="s">
        <v>255</v>
      </c>
      <c r="V144" s="51"/>
      <c r="W144" s="48" t="s">
        <v>1566</v>
      </c>
      <c r="X144" s="48">
        <v>981020000677951</v>
      </c>
      <c r="Y144" s="48" t="s">
        <v>359</v>
      </c>
      <c r="Z144" s="52" t="s">
        <v>359</v>
      </c>
      <c r="AA144" s="48" t="s">
        <v>817</v>
      </c>
      <c r="AB144" s="48" t="s">
        <v>818</v>
      </c>
      <c r="AC144" s="48" t="s">
        <v>1567</v>
      </c>
      <c r="AD144" s="48" t="s">
        <v>1567</v>
      </c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48" t="s">
        <v>819</v>
      </c>
      <c r="AP144" s="48" t="s">
        <v>246</v>
      </c>
      <c r="AQ144" s="48" t="s">
        <v>246</v>
      </c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</row>
    <row r="145" spans="1:64" ht="23.25" customHeight="1">
      <c r="A145" s="31">
        <v>66</v>
      </c>
      <c r="B145" s="63">
        <v>37</v>
      </c>
      <c r="C145" s="48">
        <v>76</v>
      </c>
      <c r="D145" s="64">
        <f t="shared" si="2"/>
        <v>37</v>
      </c>
      <c r="E145" s="64"/>
      <c r="F145" s="64"/>
      <c r="G145" s="64"/>
      <c r="H145" s="64"/>
      <c r="I145" s="90"/>
      <c r="J145" s="86"/>
      <c r="K145" s="64"/>
      <c r="L145" s="64"/>
      <c r="M145" s="64"/>
      <c r="N145" s="64"/>
      <c r="O145" s="64"/>
      <c r="P145" s="64"/>
      <c r="Q145" s="86"/>
      <c r="R145" s="64" t="s">
        <v>590</v>
      </c>
      <c r="S145" s="64" t="s">
        <v>591</v>
      </c>
      <c r="T145" s="64" t="s">
        <v>2</v>
      </c>
      <c r="U145" s="64" t="s">
        <v>24</v>
      </c>
      <c r="V145" s="86"/>
      <c r="W145" s="64" t="s">
        <v>1568</v>
      </c>
      <c r="X145" s="64">
        <v>981020000774736</v>
      </c>
      <c r="Y145" s="64" t="s">
        <v>359</v>
      </c>
      <c r="Z145" s="65" t="s">
        <v>359</v>
      </c>
      <c r="AA145" s="64" t="s">
        <v>592</v>
      </c>
      <c r="AB145" s="64" t="s">
        <v>593</v>
      </c>
      <c r="AC145" s="64" t="s">
        <v>1456</v>
      </c>
      <c r="AD145" s="64" t="s">
        <v>1457</v>
      </c>
      <c r="AE145" s="86"/>
      <c r="AF145" s="86"/>
      <c r="AG145" s="87" t="str">
        <f>HYPERLINK("https://drive.google.com/open?id=165LG_Wvyw3Ut1_u4Gt4H10qPHs93KuKk","Potvrzeni klubnovka.pdf")</f>
        <v>Potvrzeni klubnovka.pdf</v>
      </c>
      <c r="AH145" s="86"/>
      <c r="AI145" s="86"/>
      <c r="AJ145" s="87" t="str">
        <f>HYPERLINK("https://drive.google.com/open?id=1XUCoa-A7rT67-cPIon0Z-94Y70oCitRe","Cipra.pdf")</f>
        <v>Cipra.pdf</v>
      </c>
      <c r="AK145" s="87" t="str">
        <f>HYPERLINK("https://drive.google.com/open?id=1k-paF0e9N4LknRPoHzyeNfGw6Z81TX1a","platba ČKNO.pdf")</f>
        <v>platba ČKNO.pdf</v>
      </c>
      <c r="AL145" s="86"/>
      <c r="AM145" s="64" t="s">
        <v>4</v>
      </c>
      <c r="AN145" s="86"/>
      <c r="AO145" s="64" t="s">
        <v>594</v>
      </c>
      <c r="AP145" s="64" t="s">
        <v>33</v>
      </c>
      <c r="AQ145" s="64" t="s">
        <v>25</v>
      </c>
      <c r="AR145" s="86"/>
      <c r="AS145" s="86"/>
      <c r="AT145" s="86"/>
      <c r="AU145" s="88"/>
      <c r="AV145" s="88"/>
      <c r="AW145" s="88"/>
      <c r="AX145" s="88"/>
      <c r="AY145" s="88"/>
      <c r="AZ145" s="88"/>
      <c r="BA145" s="88"/>
      <c r="BB145" s="88"/>
      <c r="BC145" s="88"/>
      <c r="BD145" s="88"/>
      <c r="BE145" s="88"/>
      <c r="BF145" s="88"/>
      <c r="BG145" s="88"/>
      <c r="BH145" s="64"/>
      <c r="BI145" s="89"/>
      <c r="BJ145" s="89"/>
      <c r="BK145" s="89"/>
      <c r="BL145" s="89"/>
    </row>
    <row r="146" spans="1:64" ht="23.25" customHeight="1">
      <c r="A146" s="62">
        <v>14</v>
      </c>
      <c r="B146" s="63">
        <v>38</v>
      </c>
      <c r="C146" s="64">
        <v>77</v>
      </c>
      <c r="D146" s="64">
        <f t="shared" si="2"/>
        <v>38</v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 t="s">
        <v>175</v>
      </c>
      <c r="S146" s="64" t="s">
        <v>165</v>
      </c>
      <c r="T146" s="64" t="s">
        <v>2</v>
      </c>
      <c r="U146" s="64" t="s">
        <v>152</v>
      </c>
      <c r="V146" s="64"/>
      <c r="W146" s="64" t="s">
        <v>1534</v>
      </c>
      <c r="X146" s="64" t="s">
        <v>176</v>
      </c>
      <c r="Y146" s="64" t="s">
        <v>359</v>
      </c>
      <c r="Z146" s="65" t="s">
        <v>359</v>
      </c>
      <c r="AA146" s="64" t="s">
        <v>173</v>
      </c>
      <c r="AB146" s="64" t="s">
        <v>174</v>
      </c>
      <c r="AC146" s="64" t="s">
        <v>1535</v>
      </c>
      <c r="AD146" s="64" t="s">
        <v>1535</v>
      </c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 t="s">
        <v>177</v>
      </c>
      <c r="AP146" s="64" t="s">
        <v>25</v>
      </c>
      <c r="AQ146" s="64" t="s">
        <v>25</v>
      </c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</row>
    <row r="147" spans="1:64" ht="23.25" customHeight="1">
      <c r="A147" s="69">
        <v>56</v>
      </c>
      <c r="B147" s="63">
        <v>39</v>
      </c>
      <c r="C147" s="48">
        <v>78</v>
      </c>
      <c r="D147" s="64">
        <f t="shared" si="2"/>
        <v>39</v>
      </c>
      <c r="E147" s="143"/>
      <c r="F147" s="143"/>
      <c r="G147" s="143"/>
      <c r="H147" s="143"/>
      <c r="I147" s="144"/>
      <c r="J147" s="145"/>
      <c r="K147" s="143"/>
      <c r="L147" s="143"/>
      <c r="M147" s="143"/>
      <c r="N147" s="143"/>
      <c r="O147" s="143"/>
      <c r="P147" s="143"/>
      <c r="Q147" s="145"/>
      <c r="R147" s="143" t="s">
        <v>499</v>
      </c>
      <c r="S147" s="143" t="s">
        <v>484</v>
      </c>
      <c r="T147" s="143" t="s">
        <v>2</v>
      </c>
      <c r="U147" s="143" t="s">
        <v>24</v>
      </c>
      <c r="V147" s="145"/>
      <c r="W147" s="143" t="s">
        <v>1532</v>
      </c>
      <c r="X147" s="143">
        <v>203164000056046</v>
      </c>
      <c r="Y147" s="143" t="s">
        <v>121</v>
      </c>
      <c r="Z147" s="146" t="s">
        <v>122</v>
      </c>
      <c r="AA147" s="143" t="s">
        <v>496</v>
      </c>
      <c r="AB147" s="143" t="s">
        <v>497</v>
      </c>
      <c r="AC147" s="143" t="s">
        <v>1533</v>
      </c>
      <c r="AD147" s="143" t="s">
        <v>1533</v>
      </c>
      <c r="AE147" s="145"/>
      <c r="AF147" s="145"/>
      <c r="AG147" s="147" t="str">
        <f>HYPERLINK("https://drive.google.com/open?id=17lOoKKsYyeTylh-j01b6mrdBSFDtg1wM","platba Prokopová.jpeg")</f>
        <v>platba Prokopová.jpeg</v>
      </c>
      <c r="AH147" s="145"/>
      <c r="AI147" s="145"/>
      <c r="AJ147" s="147" t="str">
        <f>HYPERLINK("https://drive.google.com/open?id=1bgv8oh1S8wbYxTGSPlA1xQOcVhpCROCR","Codeta pp.jpeg")</f>
        <v>Codeta pp.jpeg</v>
      </c>
      <c r="AK147" s="145"/>
      <c r="AL147" s="145"/>
      <c r="AM147" s="143" t="s">
        <v>4</v>
      </c>
      <c r="AN147" s="145"/>
      <c r="AO147" s="143" t="s">
        <v>500</v>
      </c>
      <c r="AP147" s="143" t="s">
        <v>25</v>
      </c>
      <c r="AQ147" s="143" t="s">
        <v>25</v>
      </c>
      <c r="AR147" s="145"/>
      <c r="AS147" s="145"/>
      <c r="AT147" s="145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3"/>
      <c r="BI147" s="149"/>
      <c r="BJ147" s="149"/>
      <c r="BK147" s="149"/>
      <c r="BL147" s="149"/>
    </row>
    <row r="148" spans="1:64" ht="23.25" customHeight="1">
      <c r="A148" s="42">
        <v>152</v>
      </c>
      <c r="B148" s="63">
        <v>40</v>
      </c>
      <c r="C148" s="48">
        <v>79</v>
      </c>
      <c r="D148" s="48">
        <f t="shared" si="2"/>
        <v>40</v>
      </c>
      <c r="E148" s="44"/>
      <c r="F148" s="44"/>
      <c r="G148" s="44"/>
      <c r="H148" s="44"/>
      <c r="I148" s="44"/>
      <c r="J148" s="45"/>
      <c r="K148" s="44"/>
      <c r="L148" s="44"/>
      <c r="M148" s="44"/>
      <c r="N148" s="44"/>
      <c r="O148" s="44"/>
      <c r="P148" s="44"/>
      <c r="Q148" s="45"/>
      <c r="R148" s="44" t="s">
        <v>1172</v>
      </c>
      <c r="S148" s="44" t="s">
        <v>211</v>
      </c>
      <c r="T148" s="44" t="s">
        <v>2</v>
      </c>
      <c r="U148" s="44" t="s">
        <v>255</v>
      </c>
      <c r="V148" s="45"/>
      <c r="W148" s="44" t="s">
        <v>1569</v>
      </c>
      <c r="X148" s="44">
        <v>953010004325857</v>
      </c>
      <c r="Y148" s="44" t="s">
        <v>359</v>
      </c>
      <c r="Z148" s="46" t="s">
        <v>359</v>
      </c>
      <c r="AA148" s="44" t="s">
        <v>214</v>
      </c>
      <c r="AB148" s="44" t="s">
        <v>762</v>
      </c>
      <c r="AC148" s="44" t="s">
        <v>1173</v>
      </c>
      <c r="AD148" s="44" t="s">
        <v>1174</v>
      </c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4" t="s">
        <v>1175</v>
      </c>
      <c r="AP148" s="44" t="s">
        <v>246</v>
      </c>
      <c r="AQ148" s="44" t="s">
        <v>246</v>
      </c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</row>
    <row r="149" spans="1:64" ht="23.25" customHeight="1">
      <c r="A149" s="42">
        <v>111</v>
      </c>
      <c r="B149" s="63">
        <v>41</v>
      </c>
      <c r="C149" s="64">
        <v>80</v>
      </c>
      <c r="D149" s="48">
        <f t="shared" si="2"/>
        <v>41</v>
      </c>
      <c r="E149" s="44"/>
      <c r="F149" s="44"/>
      <c r="G149" s="44"/>
      <c r="H149" s="44"/>
      <c r="I149" s="44"/>
      <c r="J149" s="45"/>
      <c r="K149" s="44"/>
      <c r="L149" s="44"/>
      <c r="M149" s="44"/>
      <c r="N149" s="44"/>
      <c r="O149" s="44"/>
      <c r="P149" s="44"/>
      <c r="Q149" s="45"/>
      <c r="R149" s="44" t="s">
        <v>866</v>
      </c>
      <c r="S149" s="44" t="s">
        <v>861</v>
      </c>
      <c r="T149" s="44" t="s">
        <v>2</v>
      </c>
      <c r="U149" s="44" t="s">
        <v>255</v>
      </c>
      <c r="V149" s="45"/>
      <c r="W149" s="44" t="s">
        <v>1543</v>
      </c>
      <c r="X149" s="44">
        <v>49968</v>
      </c>
      <c r="Y149" s="44" t="s">
        <v>359</v>
      </c>
      <c r="Z149" s="46" t="s">
        <v>359</v>
      </c>
      <c r="AA149" s="44" t="s">
        <v>863</v>
      </c>
      <c r="AB149" s="44" t="s">
        <v>864</v>
      </c>
      <c r="AC149" s="44" t="s">
        <v>1544</v>
      </c>
      <c r="AD149" s="44" t="s">
        <v>1545</v>
      </c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4" t="s">
        <v>867</v>
      </c>
      <c r="AP149" s="44" t="s">
        <v>25</v>
      </c>
      <c r="AQ149" s="44" t="s">
        <v>25</v>
      </c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</row>
    <row r="150" spans="1:64" ht="23.25" customHeight="1">
      <c r="A150" s="38">
        <v>27</v>
      </c>
      <c r="B150" s="63">
        <v>42</v>
      </c>
      <c r="C150" s="48">
        <v>81</v>
      </c>
      <c r="D150" s="64">
        <f t="shared" si="2"/>
        <v>42</v>
      </c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 t="s">
        <v>292</v>
      </c>
      <c r="S150" s="40" t="s">
        <v>293</v>
      </c>
      <c r="T150" s="40" t="s">
        <v>2</v>
      </c>
      <c r="U150" s="40" t="s">
        <v>255</v>
      </c>
      <c r="V150" s="40"/>
      <c r="W150" s="40" t="s">
        <v>1570</v>
      </c>
      <c r="X150" s="40" t="s">
        <v>294</v>
      </c>
      <c r="Y150" s="40" t="s">
        <v>359</v>
      </c>
      <c r="Z150" s="41" t="s">
        <v>359</v>
      </c>
      <c r="AA150" s="40" t="s">
        <v>295</v>
      </c>
      <c r="AB150" s="40" t="s">
        <v>296</v>
      </c>
      <c r="AC150" s="40" t="s">
        <v>1565</v>
      </c>
      <c r="AD150" s="40" t="s">
        <v>1565</v>
      </c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 t="s">
        <v>297</v>
      </c>
      <c r="AP150" s="40" t="s">
        <v>271</v>
      </c>
      <c r="AQ150" s="40">
        <v>0</v>
      </c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</row>
    <row r="151" spans="1:64" ht="23.25" customHeight="1">
      <c r="A151" s="150">
        <v>101</v>
      </c>
      <c r="B151" s="63">
        <v>43</v>
      </c>
      <c r="C151" s="48">
        <v>82</v>
      </c>
      <c r="D151" s="100">
        <f t="shared" si="2"/>
        <v>43</v>
      </c>
      <c r="E151" s="128"/>
      <c r="F151" s="128"/>
      <c r="G151" s="128"/>
      <c r="H151" s="128"/>
      <c r="I151" s="132"/>
      <c r="J151" s="128"/>
      <c r="K151" s="128"/>
      <c r="L151" s="128"/>
      <c r="M151" s="128"/>
      <c r="N151" s="128"/>
      <c r="O151" s="132"/>
      <c r="P151" s="128"/>
      <c r="Q151" s="128"/>
      <c r="R151" s="128" t="s">
        <v>800</v>
      </c>
      <c r="S151" s="128" t="s">
        <v>801</v>
      </c>
      <c r="T151" s="128" t="s">
        <v>2</v>
      </c>
      <c r="U151" s="128" t="s">
        <v>255</v>
      </c>
      <c r="V151" s="128"/>
      <c r="W151" s="131" t="s">
        <v>1571</v>
      </c>
      <c r="X151" s="128" t="s">
        <v>802</v>
      </c>
      <c r="Y151" s="131" t="s">
        <v>359</v>
      </c>
      <c r="Z151" s="133" t="s">
        <v>359</v>
      </c>
      <c r="AA151" s="128" t="s">
        <v>803</v>
      </c>
      <c r="AB151" s="128" t="s">
        <v>804</v>
      </c>
      <c r="AC151" s="151" t="s">
        <v>1443</v>
      </c>
      <c r="AD151" s="152" t="s">
        <v>1443</v>
      </c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 t="s">
        <v>805</v>
      </c>
      <c r="AP151" s="128" t="s">
        <v>33</v>
      </c>
      <c r="AQ151" s="128" t="s">
        <v>25</v>
      </c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</row>
    <row r="152" spans="1:64" ht="23.25" customHeight="1">
      <c r="A152" s="42">
        <v>130</v>
      </c>
      <c r="B152" s="63">
        <v>44</v>
      </c>
      <c r="C152" s="64">
        <v>83</v>
      </c>
      <c r="D152" s="48">
        <f t="shared" si="2"/>
        <v>44</v>
      </c>
      <c r="E152" s="44"/>
      <c r="F152" s="44"/>
      <c r="G152" s="44"/>
      <c r="H152" s="44"/>
      <c r="I152" s="125"/>
      <c r="J152" s="45"/>
      <c r="K152" s="44"/>
      <c r="L152" s="44"/>
      <c r="M152" s="44"/>
      <c r="N152" s="44"/>
      <c r="O152" s="44"/>
      <c r="P152" s="44"/>
      <c r="Q152" s="45"/>
      <c r="R152" s="44" t="s">
        <v>1026</v>
      </c>
      <c r="S152" s="44" t="s">
        <v>1027</v>
      </c>
      <c r="T152" s="44" t="s">
        <v>2</v>
      </c>
      <c r="U152" s="44" t="s">
        <v>24</v>
      </c>
      <c r="V152" s="45"/>
      <c r="W152" s="44" t="s">
        <v>1572</v>
      </c>
      <c r="X152" s="44">
        <v>203003000595108</v>
      </c>
      <c r="Y152" s="44" t="s">
        <v>359</v>
      </c>
      <c r="Z152" s="46" t="s">
        <v>359</v>
      </c>
      <c r="AA152" s="44" t="s">
        <v>1028</v>
      </c>
      <c r="AB152" s="44" t="s">
        <v>1029</v>
      </c>
      <c r="AC152" s="44" t="s">
        <v>1573</v>
      </c>
      <c r="AD152" s="44" t="s">
        <v>1574</v>
      </c>
      <c r="AE152" s="45"/>
      <c r="AF152" s="45"/>
      <c r="AG152" s="68" t="str">
        <f>HYPERLINK("https://drive.google.com/open?id=1juImfOXOPzFXdm9lmk6Lgmv7gBAJ-VmO","Potvrzeni_platby.PDF")</f>
        <v>Potvrzeni_platby.PDF</v>
      </c>
      <c r="AH152" s="45"/>
      <c r="AI152" s="45"/>
      <c r="AJ152" s="68" t="str">
        <f>HYPERLINK("https://drive.google.com/open?id=1Su0Y_jvMKkUt-2MG0vqWi8aSL4HKz1TV","průkaz původu.jpg")</f>
        <v>průkaz původu.jpg</v>
      </c>
      <c r="AK152" s="68" t="str">
        <f>HYPERLINK("https://drive.google.com/open?id=1MzRZ-dE2Tz7QPHeRBnieCWcCRZTx9jhc","průkaz původu - titulní strana.jpg")</f>
        <v>průkaz původu - titulní strana.jpg</v>
      </c>
      <c r="AL152" s="45"/>
      <c r="AM152" s="44" t="s">
        <v>4</v>
      </c>
      <c r="AN152" s="45"/>
      <c r="AO152" s="44" t="s">
        <v>1030</v>
      </c>
      <c r="AP152" s="44" t="s">
        <v>271</v>
      </c>
      <c r="AQ152" s="44">
        <v>0</v>
      </c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</row>
    <row r="153" spans="1:64" ht="23.25" customHeight="1">
      <c r="A153" s="44">
        <v>171</v>
      </c>
      <c r="B153" s="63">
        <v>45</v>
      </c>
      <c r="C153" s="48">
        <v>84</v>
      </c>
      <c r="D153" s="48">
        <f t="shared" si="2"/>
        <v>45</v>
      </c>
      <c r="E153" s="44"/>
      <c r="F153" s="44"/>
      <c r="G153" s="44"/>
      <c r="H153" s="44"/>
      <c r="I153" s="125"/>
      <c r="J153" s="45"/>
      <c r="K153" s="44"/>
      <c r="L153" s="44"/>
      <c r="M153" s="44"/>
      <c r="N153" s="44"/>
      <c r="O153" s="44"/>
      <c r="P153" s="44"/>
      <c r="Q153" s="45"/>
      <c r="R153" s="44" t="s">
        <v>1295</v>
      </c>
      <c r="S153" s="44" t="s">
        <v>1296</v>
      </c>
      <c r="T153" s="44" t="s">
        <v>2</v>
      </c>
      <c r="U153" s="44" t="s">
        <v>24</v>
      </c>
      <c r="V153" s="45"/>
      <c r="W153" s="44" t="s">
        <v>1575</v>
      </c>
      <c r="X153" s="44">
        <v>35542</v>
      </c>
      <c r="Y153" s="44" t="s">
        <v>359</v>
      </c>
      <c r="Z153" s="46" t="s">
        <v>359</v>
      </c>
      <c r="AA153" s="44" t="s">
        <v>1297</v>
      </c>
      <c r="AB153" s="44" t="s">
        <v>910</v>
      </c>
      <c r="AC153" s="44" t="s">
        <v>1576</v>
      </c>
      <c r="AD153" s="44" t="s">
        <v>1577</v>
      </c>
      <c r="AE153" s="45"/>
      <c r="AF153" s="68" t="str">
        <f>HYPERLINK("https://drive.google.com/open?id=15PCZqDrz6bd1x4qrS-Mg590Wwj3ph4bV","201772030_2920957228161572_5879118375407449260_n (1).jpg")</f>
        <v>201772030_2920957228161572_5879118375407449260_n (1).jpg</v>
      </c>
      <c r="AG153" s="68" t="str">
        <f>HYPERLINK("https://drive.google.com/open?id=1482SEPG6zYf2nHNDdgrqeWVsuqMLQHqT","Potvrzení o platbě 0214001877_20210802_00002_210801XIB2293116706.pdf")</f>
        <v>Potvrzení o platbě 0214001877_20210802_00002_210801XIB2293116706.pdf</v>
      </c>
      <c r="AH153" s="68" t="str">
        <f>HYPERLINK("https://drive.google.com/open?id=1dkwk9SWfvd5Amh9-MHbzX-C3_rAO6Y_e","SCAN0011.PDF")</f>
        <v>SCAN0011.PDF</v>
      </c>
      <c r="AI153" s="68" t="str">
        <f>HYPERLINK("https://drive.google.com/open?id=1ky9MjgG4pWFMZNcEjq9wpPYGERyA-mDn","SCAN0012.PDF")</f>
        <v>SCAN0012.PDF</v>
      </c>
      <c r="AJ153" s="68" t="str">
        <f>HYPERLINK("https://drive.google.com/open?id=1c0KrYrgs0Dakilz6MVdcBNmxKmfT3Wt6","SCAN0001.PDF")</f>
        <v>SCAN0001.PDF</v>
      </c>
      <c r="AK153" s="68" t="str">
        <f>HYPERLINK("https://drive.google.com/open?id=14bhr6odKIjSibjOLRnpGSZPKi6ZbrgIz","SCAN0002.PDF")</f>
        <v>SCAN0002.PDF</v>
      </c>
      <c r="AL153" s="68" t="str">
        <f>HYPERLINK("https://drive.google.com/open?id=1TdEVknWexSB1qDugmMJALrXdqs36yTh1","SCAN0003.PDF")</f>
        <v>SCAN0003.PDF</v>
      </c>
      <c r="AM153" s="44" t="s">
        <v>4</v>
      </c>
      <c r="AN153" s="45"/>
      <c r="AO153" s="44" t="s">
        <v>1298</v>
      </c>
      <c r="AP153" s="44" t="s">
        <v>1299</v>
      </c>
      <c r="AQ153" s="44" t="s">
        <v>25</v>
      </c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</row>
    <row r="154" spans="1:64" ht="36.75" customHeight="1">
      <c r="A154" s="38">
        <v>21</v>
      </c>
      <c r="B154" s="63">
        <v>46</v>
      </c>
      <c r="C154" s="48">
        <v>85</v>
      </c>
      <c r="D154" s="64">
        <f t="shared" si="2"/>
        <v>46</v>
      </c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 t="s">
        <v>254</v>
      </c>
      <c r="S154" s="153" t="s">
        <v>266</v>
      </c>
      <c r="T154" s="40" t="s">
        <v>2</v>
      </c>
      <c r="U154" s="40" t="s">
        <v>255</v>
      </c>
      <c r="V154" s="40"/>
      <c r="W154" s="40" t="s">
        <v>1578</v>
      </c>
      <c r="X154" s="40">
        <v>963007200011787</v>
      </c>
      <c r="Y154" s="40" t="s">
        <v>127</v>
      </c>
      <c r="Z154" s="41" t="s">
        <v>359</v>
      </c>
      <c r="AA154" s="40" t="s">
        <v>256</v>
      </c>
      <c r="AB154" s="40" t="s">
        <v>257</v>
      </c>
      <c r="AC154" s="40" t="s">
        <v>1446</v>
      </c>
      <c r="AD154" s="40" t="s">
        <v>1412</v>
      </c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 t="s">
        <v>258</v>
      </c>
      <c r="AP154" s="40" t="s">
        <v>33</v>
      </c>
      <c r="AQ154" s="40" t="s">
        <v>25</v>
      </c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</row>
    <row r="155" spans="1:64" ht="23.25" customHeight="1">
      <c r="A155" s="31">
        <v>75</v>
      </c>
      <c r="B155" s="63">
        <v>47</v>
      </c>
      <c r="C155" s="64">
        <v>86</v>
      </c>
      <c r="D155" s="70">
        <f t="shared" si="2"/>
        <v>47</v>
      </c>
      <c r="E155" s="70"/>
      <c r="F155" s="70"/>
      <c r="G155" s="70"/>
      <c r="H155" s="70"/>
      <c r="I155" s="70"/>
      <c r="J155" s="154"/>
      <c r="K155" s="70"/>
      <c r="L155" s="70"/>
      <c r="M155" s="70"/>
      <c r="N155" s="70"/>
      <c r="O155" s="70"/>
      <c r="P155" s="70"/>
      <c r="Q155" s="154"/>
      <c r="R155" s="70" t="s">
        <v>660</v>
      </c>
      <c r="S155" s="70" t="s">
        <v>661</v>
      </c>
      <c r="T155" s="70" t="s">
        <v>2</v>
      </c>
      <c r="U155" s="70" t="s">
        <v>255</v>
      </c>
      <c r="V155" s="154"/>
      <c r="W155" s="70" t="s">
        <v>1571</v>
      </c>
      <c r="X155" s="70">
        <v>941000024666424</v>
      </c>
      <c r="Y155" s="70" t="s">
        <v>359</v>
      </c>
      <c r="Z155" s="155" t="s">
        <v>359</v>
      </c>
      <c r="AA155" s="70" t="s">
        <v>662</v>
      </c>
      <c r="AB155" s="70" t="s">
        <v>257</v>
      </c>
      <c r="AC155" s="70" t="s">
        <v>759</v>
      </c>
      <c r="AD155" s="70" t="s">
        <v>759</v>
      </c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70" t="s">
        <v>663</v>
      </c>
      <c r="AP155" s="70" t="s">
        <v>33</v>
      </c>
      <c r="AQ155" s="70" t="s">
        <v>25</v>
      </c>
      <c r="AR155" s="154"/>
      <c r="AS155" s="154"/>
      <c r="AT155" s="154"/>
      <c r="AU155" s="156"/>
      <c r="AV155" s="156"/>
      <c r="AW155" s="156"/>
      <c r="AX155" s="156"/>
      <c r="AY155" s="156"/>
      <c r="AZ155" s="156"/>
      <c r="BA155" s="156"/>
      <c r="BB155" s="156"/>
      <c r="BC155" s="156"/>
      <c r="BD155" s="156"/>
      <c r="BE155" s="156"/>
      <c r="BF155" s="156"/>
      <c r="BG155" s="156"/>
      <c r="BH155" s="70"/>
      <c r="BI155" s="157"/>
      <c r="BJ155" s="157"/>
      <c r="BK155" s="157"/>
      <c r="BL155" s="157"/>
    </row>
    <row r="156" spans="1:64" ht="23.25" customHeight="1">
      <c r="A156" s="31">
        <v>81</v>
      </c>
      <c r="B156" s="63">
        <v>48</v>
      </c>
      <c r="C156" s="48">
        <v>87</v>
      </c>
      <c r="D156" s="33">
        <f t="shared" si="2"/>
        <v>48</v>
      </c>
      <c r="E156" s="33"/>
      <c r="F156" s="33"/>
      <c r="G156" s="33"/>
      <c r="H156" s="33"/>
      <c r="I156" s="33"/>
      <c r="J156" s="36"/>
      <c r="K156" s="33"/>
      <c r="L156" s="33"/>
      <c r="M156" s="33"/>
      <c r="N156" s="33"/>
      <c r="O156" s="33"/>
      <c r="P156" s="33"/>
      <c r="Q156" s="36"/>
      <c r="R156" s="33" t="s">
        <v>686</v>
      </c>
      <c r="S156" s="33" t="s">
        <v>687</v>
      </c>
      <c r="T156" s="33" t="s">
        <v>2</v>
      </c>
      <c r="U156" s="33" t="s">
        <v>255</v>
      </c>
      <c r="V156" s="36"/>
      <c r="W156" s="33" t="s">
        <v>1552</v>
      </c>
      <c r="X156" s="33">
        <v>981189900110966</v>
      </c>
      <c r="Y156" s="33" t="s">
        <v>359</v>
      </c>
      <c r="Z156" s="35" t="s">
        <v>359</v>
      </c>
      <c r="AA156" s="33" t="s">
        <v>688</v>
      </c>
      <c r="AB156" s="33" t="s">
        <v>52</v>
      </c>
      <c r="AC156" s="33" t="s">
        <v>1554</v>
      </c>
      <c r="AD156" s="33" t="s">
        <v>1423</v>
      </c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3" t="s">
        <v>689</v>
      </c>
      <c r="AP156" s="33" t="s">
        <v>246</v>
      </c>
      <c r="AQ156" s="33" t="s">
        <v>246</v>
      </c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3"/>
      <c r="BI156" s="37"/>
      <c r="BJ156" s="37"/>
      <c r="BK156" s="37"/>
      <c r="BL156" s="37"/>
    </row>
    <row r="157" spans="1:64" ht="23.25" customHeight="1">
      <c r="A157" s="31">
        <v>106</v>
      </c>
      <c r="B157" s="63">
        <v>49</v>
      </c>
      <c r="C157" s="48">
        <v>88</v>
      </c>
      <c r="D157" s="48">
        <f t="shared" si="2"/>
        <v>49</v>
      </c>
      <c r="E157" s="48"/>
      <c r="F157" s="48"/>
      <c r="G157" s="48"/>
      <c r="H157" s="48"/>
      <c r="I157" s="48"/>
      <c r="J157" s="51"/>
      <c r="K157" s="48"/>
      <c r="L157" s="48"/>
      <c r="M157" s="48"/>
      <c r="N157" s="48"/>
      <c r="O157" s="48"/>
      <c r="P157" s="48"/>
      <c r="Q157" s="51"/>
      <c r="R157" s="48" t="s">
        <v>832</v>
      </c>
      <c r="S157" s="48" t="s">
        <v>200</v>
      </c>
      <c r="T157" s="48" t="s">
        <v>2</v>
      </c>
      <c r="U157" s="48" t="s">
        <v>255</v>
      </c>
      <c r="V157" s="51"/>
      <c r="W157" s="48" t="s">
        <v>1579</v>
      </c>
      <c r="X157" s="48" t="s">
        <v>833</v>
      </c>
      <c r="Y157" s="48" t="s">
        <v>127</v>
      </c>
      <c r="Z157" s="52" t="s">
        <v>359</v>
      </c>
      <c r="AA157" s="48" t="s">
        <v>316</v>
      </c>
      <c r="AB157" s="48" t="s">
        <v>317</v>
      </c>
      <c r="AC157" s="48" t="s">
        <v>1495</v>
      </c>
      <c r="AD157" s="48" t="s">
        <v>1495</v>
      </c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48" t="s">
        <v>834</v>
      </c>
      <c r="AP157" s="48" t="s">
        <v>25</v>
      </c>
      <c r="AQ157" s="48" t="s">
        <v>25</v>
      </c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</row>
    <row r="158" spans="1:64" ht="23.25" customHeight="1">
      <c r="A158" s="62">
        <v>30</v>
      </c>
      <c r="B158" s="63">
        <v>50</v>
      </c>
      <c r="C158" s="64">
        <v>89</v>
      </c>
      <c r="D158" s="64">
        <f t="shared" si="2"/>
        <v>50</v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 t="s">
        <v>313</v>
      </c>
      <c r="S158" s="64" t="s">
        <v>200</v>
      </c>
      <c r="T158" s="64" t="s">
        <v>2</v>
      </c>
      <c r="U158" s="64" t="s">
        <v>255</v>
      </c>
      <c r="V158" s="64"/>
      <c r="W158" s="64" t="s">
        <v>1579</v>
      </c>
      <c r="X158" s="64" t="s">
        <v>314</v>
      </c>
      <c r="Y158" s="64" t="s">
        <v>315</v>
      </c>
      <c r="Z158" s="65" t="s">
        <v>359</v>
      </c>
      <c r="AA158" s="64" t="s">
        <v>316</v>
      </c>
      <c r="AB158" s="64" t="s">
        <v>317</v>
      </c>
      <c r="AC158" s="64" t="s">
        <v>1495</v>
      </c>
      <c r="AD158" s="64" t="s">
        <v>1580</v>
      </c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 t="s">
        <v>318</v>
      </c>
      <c r="AP158" s="64" t="s">
        <v>25</v>
      </c>
      <c r="AQ158" s="64" t="s">
        <v>25</v>
      </c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</row>
    <row r="159" spans="1:64" ht="25.5">
      <c r="A159" s="47">
        <v>31</v>
      </c>
      <c r="B159" s="63">
        <v>51</v>
      </c>
      <c r="C159" s="48">
        <v>90</v>
      </c>
      <c r="D159" s="48">
        <f t="shared" si="2"/>
        <v>51</v>
      </c>
      <c r="E159" s="158"/>
      <c r="F159" s="158"/>
      <c r="G159" s="158"/>
      <c r="H159" s="158"/>
      <c r="I159" s="158"/>
      <c r="J159" s="159"/>
      <c r="K159" s="158"/>
      <c r="L159" s="158"/>
      <c r="M159" s="158"/>
      <c r="N159" s="158"/>
      <c r="O159" s="159"/>
      <c r="P159" s="158"/>
      <c r="Q159" s="159"/>
      <c r="R159" s="158" t="s">
        <v>319</v>
      </c>
      <c r="S159" s="158" t="s">
        <v>200</v>
      </c>
      <c r="T159" s="158" t="s">
        <v>2</v>
      </c>
      <c r="U159" s="158" t="s">
        <v>255</v>
      </c>
      <c r="V159" s="159"/>
      <c r="W159" s="158" t="s">
        <v>1579</v>
      </c>
      <c r="X159" s="158" t="s">
        <v>320</v>
      </c>
      <c r="Y159" s="158" t="s">
        <v>315</v>
      </c>
      <c r="Z159" s="160" t="s">
        <v>359</v>
      </c>
      <c r="AA159" s="158" t="s">
        <v>316</v>
      </c>
      <c r="AB159" s="158" t="s">
        <v>317</v>
      </c>
      <c r="AC159" s="161" t="s">
        <v>1495</v>
      </c>
      <c r="AD159" s="162" t="s">
        <v>1580</v>
      </c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8" t="s">
        <v>321</v>
      </c>
      <c r="AP159" s="158" t="s">
        <v>25</v>
      </c>
      <c r="AQ159" s="158" t="s">
        <v>25</v>
      </c>
      <c r="AR159" s="159"/>
      <c r="AS159" s="159"/>
      <c r="AT159" s="159"/>
      <c r="AU159" s="163"/>
      <c r="AV159" s="163"/>
      <c r="AW159" s="163"/>
      <c r="AX159" s="163"/>
      <c r="AY159" s="163"/>
      <c r="AZ159" s="163"/>
      <c r="BA159" s="163"/>
      <c r="BB159" s="163"/>
      <c r="BC159" s="158"/>
      <c r="BD159" s="158"/>
      <c r="BE159" s="163"/>
      <c r="BF159" s="163"/>
      <c r="BG159" s="163"/>
      <c r="BH159" s="158"/>
      <c r="BI159" s="158"/>
      <c r="BJ159" s="158"/>
      <c r="BK159" s="158"/>
      <c r="BL159" s="158"/>
    </row>
    <row r="160" spans="1:64" ht="23.25" customHeight="1">
      <c r="A160" s="31">
        <v>161</v>
      </c>
      <c r="B160" s="63">
        <v>52</v>
      </c>
      <c r="C160" s="48">
        <v>91</v>
      </c>
      <c r="D160" s="48">
        <f t="shared" si="2"/>
        <v>52</v>
      </c>
      <c r="E160" s="48"/>
      <c r="F160" s="48"/>
      <c r="G160" s="48"/>
      <c r="H160" s="48"/>
      <c r="I160" s="48"/>
      <c r="J160" s="51"/>
      <c r="K160" s="48"/>
      <c r="L160" s="48"/>
      <c r="M160" s="48"/>
      <c r="N160" s="51"/>
      <c r="O160" s="48"/>
      <c r="P160" s="48"/>
      <c r="Q160" s="51"/>
      <c r="R160" s="48" t="s">
        <v>1235</v>
      </c>
      <c r="S160" s="48" t="s">
        <v>1236</v>
      </c>
      <c r="T160" s="48" t="s">
        <v>2</v>
      </c>
      <c r="U160" s="48" t="s">
        <v>255</v>
      </c>
      <c r="V160" s="51"/>
      <c r="W160" s="48" t="s">
        <v>1581</v>
      </c>
      <c r="X160" s="48">
        <v>981189900114793</v>
      </c>
      <c r="Y160" s="48" t="s">
        <v>359</v>
      </c>
      <c r="Z160" s="52" t="s">
        <v>359</v>
      </c>
      <c r="AA160" s="48" t="s">
        <v>1237</v>
      </c>
      <c r="AB160" s="48" t="s">
        <v>938</v>
      </c>
      <c r="AC160" s="48" t="s">
        <v>1414</v>
      </c>
      <c r="AD160" s="48" t="s">
        <v>1223</v>
      </c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48" t="s">
        <v>1238</v>
      </c>
      <c r="AP160" s="48" t="s">
        <v>246</v>
      </c>
      <c r="AQ160" s="48" t="s">
        <v>246</v>
      </c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</row>
    <row r="161" spans="1:64" ht="12.75">
      <c r="A161" s="29" t="s">
        <v>1582</v>
      </c>
      <c r="B161" s="29"/>
      <c r="C161" s="30"/>
      <c r="D161" s="30">
        <f t="shared" si="2"/>
        <v>0</v>
      </c>
      <c r="E161" s="30">
        <f>SUM(C162:C168)</f>
        <v>0</v>
      </c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</row>
    <row r="162" spans="1:64" ht="12.75">
      <c r="A162" s="27"/>
      <c r="B162" s="27"/>
      <c r="C162" s="28"/>
      <c r="D162" s="28">
        <f t="shared" si="2"/>
        <v>0</v>
      </c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</row>
    <row r="163" spans="1:64" ht="12.75">
      <c r="A163" s="27"/>
      <c r="B163" s="27"/>
      <c r="C163" s="28"/>
      <c r="D163" s="28">
        <f t="shared" si="2"/>
        <v>0</v>
      </c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</row>
    <row r="164" spans="1:64" ht="12.75">
      <c r="A164" s="27"/>
      <c r="B164" s="27"/>
      <c r="C164" s="28"/>
      <c r="D164" s="28">
        <f t="shared" si="2"/>
        <v>0</v>
      </c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</row>
    <row r="165" spans="1:64" ht="12.75">
      <c r="A165" s="27"/>
      <c r="B165" s="27"/>
      <c r="C165" s="28"/>
      <c r="D165" s="28">
        <f t="shared" si="2"/>
        <v>0</v>
      </c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</row>
    <row r="166" spans="1:64" ht="12.75">
      <c r="A166" s="27"/>
      <c r="B166" s="27"/>
      <c r="C166" s="28"/>
      <c r="D166" s="28">
        <f t="shared" si="2"/>
        <v>0</v>
      </c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</row>
    <row r="167" spans="1:64" ht="12.75">
      <c r="A167" s="27"/>
      <c r="B167" s="27"/>
      <c r="C167" s="28"/>
      <c r="D167" s="28">
        <f t="shared" si="2"/>
        <v>0</v>
      </c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</row>
    <row r="168" spans="1:64" ht="12.75">
      <c r="A168" s="27"/>
      <c r="B168" s="27"/>
      <c r="C168" s="28"/>
      <c r="D168" s="28">
        <f t="shared" si="2"/>
        <v>0</v>
      </c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</row>
    <row r="169" spans="1:64" ht="12.75">
      <c r="A169" s="29" t="s">
        <v>1583</v>
      </c>
      <c r="B169" s="29"/>
      <c r="C169" s="30"/>
      <c r="D169" s="30">
        <f t="shared" si="2"/>
        <v>0</v>
      </c>
      <c r="E169" s="30">
        <f>SUM(C170:C194)</f>
        <v>325</v>
      </c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</row>
    <row r="170" spans="1:64" ht="23.25" customHeight="1">
      <c r="A170" s="48">
        <v>175</v>
      </c>
      <c r="B170" s="32">
        <v>1</v>
      </c>
      <c r="C170" s="48">
        <v>1</v>
      </c>
      <c r="D170" s="48">
        <f t="shared" si="2"/>
        <v>1</v>
      </c>
      <c r="E170" s="48"/>
      <c r="F170" s="48"/>
      <c r="G170" s="48"/>
      <c r="H170" s="48"/>
      <c r="I170" s="48"/>
      <c r="J170" s="51"/>
      <c r="K170" s="48"/>
      <c r="L170" s="48"/>
      <c r="M170" s="48"/>
      <c r="N170" s="51"/>
      <c r="O170" s="51"/>
      <c r="P170" s="48"/>
      <c r="Q170" s="51"/>
      <c r="R170" s="48" t="s">
        <v>1329</v>
      </c>
      <c r="S170" s="48" t="s">
        <v>1330</v>
      </c>
      <c r="T170" s="48" t="s">
        <v>5</v>
      </c>
      <c r="U170" s="48" t="s">
        <v>255</v>
      </c>
      <c r="V170" s="51"/>
      <c r="W170" s="48" t="s">
        <v>1584</v>
      </c>
      <c r="X170" s="48" t="s">
        <v>1331</v>
      </c>
      <c r="Y170" s="48" t="s">
        <v>919</v>
      </c>
      <c r="Z170" s="52" t="s">
        <v>122</v>
      </c>
      <c r="AA170" s="48" t="s">
        <v>1332</v>
      </c>
      <c r="AB170" s="48" t="s">
        <v>1333</v>
      </c>
      <c r="AC170" s="48" t="s">
        <v>1334</v>
      </c>
      <c r="AD170" s="48" t="s">
        <v>1334</v>
      </c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48" t="s">
        <v>1335</v>
      </c>
      <c r="AP170" s="48" t="s">
        <v>25</v>
      </c>
      <c r="AQ170" s="48" t="s">
        <v>25</v>
      </c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  <c r="BL170" s="51"/>
    </row>
    <row r="171" spans="1:64" ht="23.25" customHeight="1">
      <c r="A171" s="164">
        <v>61</v>
      </c>
      <c r="B171" s="32">
        <v>2</v>
      </c>
      <c r="C171" s="115">
        <v>2</v>
      </c>
      <c r="D171" s="112">
        <f t="shared" si="2"/>
        <v>2</v>
      </c>
      <c r="E171" s="112"/>
      <c r="F171" s="112"/>
      <c r="G171" s="112"/>
      <c r="H171" s="112"/>
      <c r="I171" s="165"/>
      <c r="J171" s="166"/>
      <c r="K171" s="112"/>
      <c r="L171" s="113"/>
      <c r="M171" s="112"/>
      <c r="N171" s="112"/>
      <c r="O171" s="113"/>
      <c r="P171" s="112"/>
      <c r="Q171" s="166"/>
      <c r="R171" s="112" t="s">
        <v>541</v>
      </c>
      <c r="S171" s="112" t="s">
        <v>542</v>
      </c>
      <c r="T171" s="112" t="s">
        <v>5</v>
      </c>
      <c r="U171" s="112" t="s">
        <v>24</v>
      </c>
      <c r="V171" s="166"/>
      <c r="W171" s="115" t="s">
        <v>1585</v>
      </c>
      <c r="X171" s="113">
        <v>941000023623480</v>
      </c>
      <c r="Y171" s="112" t="s">
        <v>543</v>
      </c>
      <c r="Z171" s="165" t="s">
        <v>544</v>
      </c>
      <c r="AA171" s="112" t="s">
        <v>545</v>
      </c>
      <c r="AB171" s="112" t="s">
        <v>546</v>
      </c>
      <c r="AC171" s="116" t="s">
        <v>1586</v>
      </c>
      <c r="AD171" s="116" t="s">
        <v>1587</v>
      </c>
      <c r="AE171" s="166"/>
      <c r="AF171" s="167" t="str">
        <f>HYPERLINK("https://drive.google.com/open?id=1LQ2tUWwzGKzgalCK44PboTwpSUcHmThF","DSC_0948 (1).jpg")</f>
        <v>DSC_0948 (1).jpg</v>
      </c>
      <c r="AG171" s="167" t="str">
        <f>HYPERLINK("https://drive.google.com/open?id=1qfWU1gmHRN17XXBYv6YRvH-wafGCtiIX","Potvrzeni_o_odchozi_uhrade.pdf")</f>
        <v>Potvrzeni_o_odchozi_uhrade.pdf</v>
      </c>
      <c r="AH171" s="167" t="str">
        <f>HYPERLINK("https://drive.google.com/open?id=1z4i_ZUNDcR75OirOJ1eTmm7DN2k7x5OV","IMG_8286.JPG")</f>
        <v>IMG_8286.JPG</v>
      </c>
      <c r="AI171" s="167" t="str">
        <f>HYPERLINK("https://drive.google.com/open?id=1C-RXt1_eME9YhaBsVh9L9lbV_36YN7i4","IMG_8287.JPG")</f>
        <v>IMG_8287.JPG</v>
      </c>
      <c r="AJ171" s="167" t="str">
        <f>HYPERLINK("https://drive.google.com/open?id=1gkncYkspDms_Lc2tuQ8UuJDw5ESa2fUm","IMG_8288.JPG")</f>
        <v>IMG_8288.JPG</v>
      </c>
      <c r="AK171" s="167" t="str">
        <f>HYPERLINK("https://drive.google.com/open?id=1o3WmOMJg8uhCfFK68palEqp9BuAxH6DN","IMG_8294.JPG")</f>
        <v>IMG_8294.JPG</v>
      </c>
      <c r="AL171" s="166"/>
      <c r="AM171" s="112" t="s">
        <v>4</v>
      </c>
      <c r="AN171" s="166"/>
      <c r="AO171" s="112" t="s">
        <v>547</v>
      </c>
      <c r="AP171" s="112" t="s">
        <v>25</v>
      </c>
      <c r="AQ171" s="112" t="s">
        <v>25</v>
      </c>
      <c r="AR171" s="166"/>
      <c r="AS171" s="166"/>
      <c r="AT171" s="166"/>
      <c r="AU171" s="168"/>
      <c r="AV171" s="168"/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8"/>
      <c r="BG171" s="168"/>
      <c r="BH171" s="112"/>
      <c r="BI171" s="112"/>
      <c r="BJ171" s="112"/>
      <c r="BK171" s="112"/>
      <c r="BL171" s="112"/>
    </row>
    <row r="172" spans="1:64" ht="23.25" customHeight="1">
      <c r="A172" s="31">
        <v>168</v>
      </c>
      <c r="B172" s="32">
        <v>3</v>
      </c>
      <c r="C172" s="48">
        <v>3</v>
      </c>
      <c r="D172" s="48">
        <f t="shared" si="2"/>
        <v>3</v>
      </c>
      <c r="E172" s="48"/>
      <c r="F172" s="48"/>
      <c r="G172" s="48"/>
      <c r="H172" s="48"/>
      <c r="I172" s="48"/>
      <c r="J172" s="51"/>
      <c r="K172" s="48"/>
      <c r="L172" s="48"/>
      <c r="M172" s="48"/>
      <c r="N172" s="51"/>
      <c r="O172" s="48"/>
      <c r="P172" s="48"/>
      <c r="Q172" s="51"/>
      <c r="R172" s="48" t="s">
        <v>1267</v>
      </c>
      <c r="S172" s="48" t="s">
        <v>1268</v>
      </c>
      <c r="T172" s="48" t="s">
        <v>5</v>
      </c>
      <c r="U172" s="48" t="s">
        <v>255</v>
      </c>
      <c r="V172" s="51"/>
      <c r="W172" s="48" t="s">
        <v>1588</v>
      </c>
      <c r="X172" s="48" t="s">
        <v>1269</v>
      </c>
      <c r="Y172" s="48" t="s">
        <v>1270</v>
      </c>
      <c r="Z172" s="52" t="s">
        <v>1271</v>
      </c>
      <c r="AA172" s="48" t="s">
        <v>1272</v>
      </c>
      <c r="AB172" s="48" t="s">
        <v>1273</v>
      </c>
      <c r="AC172" s="48" t="s">
        <v>1274</v>
      </c>
      <c r="AD172" s="48" t="s">
        <v>1275</v>
      </c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48" t="s">
        <v>1276</v>
      </c>
      <c r="AP172" s="48" t="s">
        <v>33</v>
      </c>
      <c r="AQ172" s="48" t="s">
        <v>25</v>
      </c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</row>
    <row r="173" spans="1:64" ht="23.25" customHeight="1">
      <c r="A173" s="31">
        <v>133</v>
      </c>
      <c r="B173" s="32">
        <v>4</v>
      </c>
      <c r="C173" s="48">
        <v>4</v>
      </c>
      <c r="D173" s="48">
        <f t="shared" si="2"/>
        <v>4</v>
      </c>
      <c r="E173" s="48"/>
      <c r="F173" s="48"/>
      <c r="G173" s="48"/>
      <c r="H173" s="48"/>
      <c r="I173" s="54"/>
      <c r="J173" s="51"/>
      <c r="K173" s="48"/>
      <c r="L173" s="48"/>
      <c r="M173" s="48"/>
      <c r="N173" s="48"/>
      <c r="O173" s="48"/>
      <c r="P173" s="48"/>
      <c r="Q173" s="51"/>
      <c r="R173" s="48" t="s">
        <v>1048</v>
      </c>
      <c r="S173" s="48" t="s">
        <v>1049</v>
      </c>
      <c r="T173" s="48" t="s">
        <v>5</v>
      </c>
      <c r="U173" s="48" t="s">
        <v>24</v>
      </c>
      <c r="V173" s="51"/>
      <c r="W173" s="48" t="s">
        <v>1589</v>
      </c>
      <c r="X173" s="48">
        <v>953010003571073</v>
      </c>
      <c r="Y173" s="48" t="s">
        <v>1050</v>
      </c>
      <c r="Z173" s="52" t="s">
        <v>122</v>
      </c>
      <c r="AA173" s="48" t="s">
        <v>1051</v>
      </c>
      <c r="AB173" s="48" t="s">
        <v>379</v>
      </c>
      <c r="AC173" s="48" t="s">
        <v>1052</v>
      </c>
      <c r="AD173" s="48" t="s">
        <v>1052</v>
      </c>
      <c r="AE173" s="51"/>
      <c r="AF173" s="51"/>
      <c r="AG173" s="55" t="str">
        <f>HYPERLINK("https://drive.google.com/open?id=1oxrNT8xYKRRnk5_RCtf0waAif7FE1fDs","IMG-20210801-WA0004.jpg")</f>
        <v>IMG-20210801-WA0004.jpg</v>
      </c>
      <c r="AH173" s="55" t="str">
        <f>HYPERLINK("https://drive.google.com/open?id=1yvxZoXKuGT2mozvjJI9ZYv8rJWWMN_5W","IMG-20210801-WA0004.jpg")</f>
        <v>IMG-20210801-WA0004.jpg</v>
      </c>
      <c r="AI173" s="55" t="str">
        <f>HYPERLINK("https://drive.google.com/open?id=12E2w11JOuX6xM7qfH-vLyVbh7t2_TzKg","IMG-20210801-WA0003.jpg")</f>
        <v>IMG-20210801-WA0003.jpg</v>
      </c>
      <c r="AJ173" s="55" t="str">
        <f>HYPERLINK("https://drive.google.com/open?id=14XKujdDlsC7MRANuQl3nwLPWU3-79NNI","IMG-20210801-WA0002.jpg")</f>
        <v>IMG-20210801-WA0002.jpg</v>
      </c>
      <c r="AK173" s="51"/>
      <c r="AL173" s="55" t="str">
        <f>HYPERLINK("https://drive.google.com/open?id=11kXYOwJ5Kr2cpNx9zQPXexuqwwPgTRvI","IMG-20210801-WA0001.jpg")</f>
        <v>IMG-20210801-WA0001.jpg</v>
      </c>
      <c r="AM173" s="48" t="s">
        <v>4</v>
      </c>
      <c r="AN173" s="51"/>
      <c r="AO173" s="48" t="s">
        <v>1053</v>
      </c>
      <c r="AP173" s="48" t="s">
        <v>113</v>
      </c>
      <c r="AQ173" s="48" t="s">
        <v>113</v>
      </c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</row>
    <row r="174" spans="1:64" ht="23.25" customHeight="1">
      <c r="A174" s="150">
        <v>62</v>
      </c>
      <c r="B174" s="32">
        <v>5</v>
      </c>
      <c r="C174" s="48">
        <v>5</v>
      </c>
      <c r="D174" s="100">
        <f t="shared" si="2"/>
        <v>5</v>
      </c>
      <c r="E174" s="128"/>
      <c r="F174" s="128"/>
      <c r="G174" s="128"/>
      <c r="H174" s="128"/>
      <c r="I174" s="169"/>
      <c r="J174" s="170"/>
      <c r="K174" s="128"/>
      <c r="L174" s="132"/>
      <c r="M174" s="128"/>
      <c r="N174" s="128"/>
      <c r="O174" s="132"/>
      <c r="P174" s="128"/>
      <c r="Q174" s="170"/>
      <c r="R174" s="128" t="s">
        <v>553</v>
      </c>
      <c r="S174" s="128" t="s">
        <v>554</v>
      </c>
      <c r="T174" s="128" t="s">
        <v>5</v>
      </c>
      <c r="U174" s="128" t="s">
        <v>24</v>
      </c>
      <c r="V174" s="170"/>
      <c r="W174" s="131" t="s">
        <v>1590</v>
      </c>
      <c r="X174" s="132">
        <v>981020000675768</v>
      </c>
      <c r="Y174" s="128" t="s">
        <v>555</v>
      </c>
      <c r="Z174" s="169" t="s">
        <v>122</v>
      </c>
      <c r="AA174" s="128" t="s">
        <v>556</v>
      </c>
      <c r="AB174" s="128" t="s">
        <v>557</v>
      </c>
      <c r="AC174" s="131" t="s">
        <v>1591</v>
      </c>
      <c r="AD174" s="131" t="s">
        <v>1453</v>
      </c>
      <c r="AE174" s="170"/>
      <c r="AF174" s="171" t="str">
        <f>HYPERLINK("https://drive.google.com/open?id=1C1Dr9Qz1BFUbjKyJSzclEe20JhS7Daeb","DSC_7144.jpg")</f>
        <v>DSC_7144.jpg</v>
      </c>
      <c r="AG174" s="171" t="str">
        <f>HYPERLINK("https://drive.google.com/open?id=15HoiUa6vO6F2X4NkpZ2RJ2LrFlHKMkPk","Skener_20210625 (2).pdf")</f>
        <v>Skener_20210625 (2).pdf</v>
      </c>
      <c r="AH174" s="171" t="str">
        <f>HYPERLINK("https://drive.google.com/open?id=1_IpBPkw159tlWriGcrs-0RQFln4h_38W","20210723_163218_resized.jpg")</f>
        <v>20210723_163218_resized.jpg</v>
      </c>
      <c r="AI174" s="171" t="str">
        <f>HYPERLINK("https://drive.google.com/open?id=1HqSEX92aX2YCKbCN6py3MY-q0p64tPsJ","20210723_163235_resized.jpg")</f>
        <v>20210723_163235_resized.jpg</v>
      </c>
      <c r="AJ174" s="171" t="str">
        <f>HYPERLINK("https://drive.google.com/open?id=1g5qDpn-CGimcgKBUbln_Qpf5xKC0y6Fq","20210724_234043_resized.jpg")</f>
        <v>20210724_234043_resized.jpg</v>
      </c>
      <c r="AK174" s="171" t="str">
        <f>HYPERLINK("https://drive.google.com/open?id=1E6It5HZ6RZFzxBnwzNEpwlCNkFHmG11K","20210724_234056_resized.jpg")</f>
        <v>20210724_234056_resized.jpg</v>
      </c>
      <c r="AL174" s="171" t="str">
        <f>HYPERLINK("https://drive.google.com/open?id=10SE4DPlEHrJ8jQUMeWO3Hec4YTFDasMX","20210724_235007_resized.jpg")</f>
        <v>20210724_235007_resized.jpg</v>
      </c>
      <c r="AM174" s="128" t="s">
        <v>4</v>
      </c>
      <c r="AN174" s="170"/>
      <c r="AO174" s="128" t="s">
        <v>1592</v>
      </c>
      <c r="AP174" s="128" t="s">
        <v>25</v>
      </c>
      <c r="AQ174" s="128" t="s">
        <v>25</v>
      </c>
      <c r="AR174" s="170"/>
      <c r="AS174" s="170"/>
      <c r="AT174" s="170"/>
      <c r="AU174" s="172"/>
      <c r="AV174" s="172"/>
      <c r="AW174" s="172"/>
      <c r="AX174" s="172"/>
      <c r="AY174" s="172"/>
      <c r="AZ174" s="172"/>
      <c r="BA174" s="172"/>
      <c r="BB174" s="172"/>
      <c r="BC174" s="172"/>
      <c r="BD174" s="172"/>
      <c r="BE174" s="172"/>
      <c r="BF174" s="172"/>
      <c r="BG174" s="172"/>
      <c r="BH174" s="128"/>
      <c r="BI174" s="128"/>
      <c r="BJ174" s="128"/>
      <c r="BK174" s="128"/>
      <c r="BL174" s="128"/>
    </row>
    <row r="175" spans="1:64" ht="23.25" customHeight="1">
      <c r="A175" s="42">
        <v>113</v>
      </c>
      <c r="B175" s="32">
        <v>6</v>
      </c>
      <c r="C175" s="115">
        <v>6</v>
      </c>
      <c r="D175" s="48">
        <f t="shared" si="2"/>
        <v>6</v>
      </c>
      <c r="E175" s="44"/>
      <c r="F175" s="44"/>
      <c r="G175" s="44"/>
      <c r="H175" s="44"/>
      <c r="I175" s="44"/>
      <c r="J175" s="45"/>
      <c r="K175" s="44"/>
      <c r="L175" s="44"/>
      <c r="M175" s="44"/>
      <c r="N175" s="44"/>
      <c r="O175" s="44"/>
      <c r="P175" s="44"/>
      <c r="Q175" s="45"/>
      <c r="R175" s="44" t="s">
        <v>877</v>
      </c>
      <c r="S175" s="44" t="s">
        <v>878</v>
      </c>
      <c r="T175" s="44" t="s">
        <v>5</v>
      </c>
      <c r="U175" s="44" t="s">
        <v>255</v>
      </c>
      <c r="V175" s="45"/>
      <c r="W175" s="44" t="s">
        <v>1593</v>
      </c>
      <c r="X175" s="44" t="s">
        <v>879</v>
      </c>
      <c r="Y175" s="44" t="s">
        <v>880</v>
      </c>
      <c r="Z175" s="46" t="s">
        <v>122</v>
      </c>
      <c r="AA175" s="44" t="s">
        <v>881</v>
      </c>
      <c r="AB175" s="44" t="s">
        <v>65</v>
      </c>
      <c r="AC175" s="44" t="s">
        <v>882</v>
      </c>
      <c r="AD175" s="44" t="s">
        <v>882</v>
      </c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4" t="s">
        <v>883</v>
      </c>
      <c r="AP175" s="44" t="s">
        <v>271</v>
      </c>
      <c r="AQ175" s="44" t="s">
        <v>25</v>
      </c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</row>
    <row r="176" spans="1:64" ht="23.25" customHeight="1">
      <c r="A176" s="42">
        <v>84</v>
      </c>
      <c r="B176" s="32">
        <v>7</v>
      </c>
      <c r="C176" s="48">
        <v>7</v>
      </c>
      <c r="D176" s="33">
        <f t="shared" si="2"/>
        <v>7</v>
      </c>
      <c r="E176" s="56"/>
      <c r="F176" s="56"/>
      <c r="G176" s="56"/>
      <c r="H176" s="56"/>
      <c r="I176" s="56"/>
      <c r="J176" s="58"/>
      <c r="K176" s="56"/>
      <c r="L176" s="56"/>
      <c r="M176" s="56"/>
      <c r="N176" s="56"/>
      <c r="O176" s="56"/>
      <c r="P176" s="56"/>
      <c r="Q176" s="58"/>
      <c r="R176" s="56" t="s">
        <v>715</v>
      </c>
      <c r="S176" s="56" t="s">
        <v>716</v>
      </c>
      <c r="T176" s="56" t="s">
        <v>717</v>
      </c>
      <c r="U176" s="56" t="s">
        <v>255</v>
      </c>
      <c r="V176" s="58"/>
      <c r="W176" s="56" t="s">
        <v>1594</v>
      </c>
      <c r="X176" s="56">
        <v>981189900095055</v>
      </c>
      <c r="Y176" s="56" t="s">
        <v>121</v>
      </c>
      <c r="Z176" s="59" t="s">
        <v>414</v>
      </c>
      <c r="AA176" s="56" t="s">
        <v>718</v>
      </c>
      <c r="AB176" s="56" t="s">
        <v>719</v>
      </c>
      <c r="AC176" s="56" t="s">
        <v>1422</v>
      </c>
      <c r="AD176" s="56" t="s">
        <v>1595</v>
      </c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6" t="s">
        <v>720</v>
      </c>
      <c r="AP176" s="56" t="s">
        <v>246</v>
      </c>
      <c r="AQ176" s="56" t="s">
        <v>246</v>
      </c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6"/>
      <c r="BI176" s="61"/>
      <c r="BJ176" s="61"/>
      <c r="BK176" s="61"/>
      <c r="BL176" s="61"/>
    </row>
    <row r="177" spans="1:64" ht="23.25" customHeight="1">
      <c r="A177" s="42">
        <v>170</v>
      </c>
      <c r="B177" s="32">
        <v>8</v>
      </c>
      <c r="C177" s="48">
        <v>8</v>
      </c>
      <c r="D177" s="48">
        <f t="shared" si="2"/>
        <v>8</v>
      </c>
      <c r="E177" s="44"/>
      <c r="F177" s="44"/>
      <c r="G177" s="44"/>
      <c r="H177" s="44"/>
      <c r="I177" s="44"/>
      <c r="J177" s="45"/>
      <c r="K177" s="44"/>
      <c r="L177" s="44"/>
      <c r="M177" s="44"/>
      <c r="N177" s="45"/>
      <c r="O177" s="45"/>
      <c r="P177" s="45"/>
      <c r="Q177" s="45"/>
      <c r="R177" s="44" t="s">
        <v>1284</v>
      </c>
      <c r="S177" s="44" t="s">
        <v>1278</v>
      </c>
      <c r="T177" s="44" t="s">
        <v>5</v>
      </c>
      <c r="U177" s="44" t="s">
        <v>255</v>
      </c>
      <c r="V177" s="45"/>
      <c r="W177" s="44" t="s">
        <v>1596</v>
      </c>
      <c r="X177" s="44" t="s">
        <v>1285</v>
      </c>
      <c r="Y177" s="44" t="s">
        <v>1286</v>
      </c>
      <c r="Z177" s="46" t="s">
        <v>1280</v>
      </c>
      <c r="AA177" s="44" t="s">
        <v>1287</v>
      </c>
      <c r="AB177" s="44" t="s">
        <v>1288</v>
      </c>
      <c r="AC177" s="44" t="s">
        <v>1275</v>
      </c>
      <c r="AD177" s="44" t="s">
        <v>1275</v>
      </c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4" t="s">
        <v>1289</v>
      </c>
      <c r="AP177" s="44" t="s">
        <v>33</v>
      </c>
      <c r="AQ177" s="44" t="s">
        <v>25</v>
      </c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</row>
    <row r="178" spans="1:64" ht="23.25" customHeight="1">
      <c r="A178" s="42">
        <v>158</v>
      </c>
      <c r="B178" s="32">
        <v>9</v>
      </c>
      <c r="C178" s="48">
        <v>9</v>
      </c>
      <c r="D178" s="48">
        <f t="shared" si="2"/>
        <v>9</v>
      </c>
      <c r="E178" s="44"/>
      <c r="F178" s="44"/>
      <c r="G178" s="44"/>
      <c r="H178" s="44"/>
      <c r="I178" s="44"/>
      <c r="J178" s="45"/>
      <c r="K178" s="44"/>
      <c r="L178" s="44"/>
      <c r="M178" s="44"/>
      <c r="N178" s="45"/>
      <c r="O178" s="44"/>
      <c r="P178" s="44"/>
      <c r="Q178" s="45"/>
      <c r="R178" s="44" t="s">
        <v>1217</v>
      </c>
      <c r="S178" s="44" t="s">
        <v>1218</v>
      </c>
      <c r="T178" s="44" t="s">
        <v>5</v>
      </c>
      <c r="U178" s="44" t="s">
        <v>255</v>
      </c>
      <c r="V178" s="45"/>
      <c r="W178" s="44" t="s">
        <v>1597</v>
      </c>
      <c r="X178" s="44" t="s">
        <v>1219</v>
      </c>
      <c r="Y178" s="44" t="s">
        <v>127</v>
      </c>
      <c r="Z178" s="46" t="s">
        <v>1220</v>
      </c>
      <c r="AA178" s="44" t="s">
        <v>1221</v>
      </c>
      <c r="AB178" s="44" t="s">
        <v>1222</v>
      </c>
      <c r="AC178" s="44" t="s">
        <v>1223</v>
      </c>
      <c r="AD178" s="44" t="s">
        <v>1223</v>
      </c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4" t="s">
        <v>1224</v>
      </c>
      <c r="AP178" s="44" t="s">
        <v>25</v>
      </c>
      <c r="AQ178" s="44" t="s">
        <v>25</v>
      </c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</row>
    <row r="179" spans="1:64" ht="23.25" customHeight="1">
      <c r="A179" s="42">
        <v>129</v>
      </c>
      <c r="B179" s="32">
        <v>10</v>
      </c>
      <c r="C179" s="115">
        <v>10</v>
      </c>
      <c r="D179" s="48">
        <f t="shared" si="2"/>
        <v>10</v>
      </c>
      <c r="E179" s="44"/>
      <c r="F179" s="44"/>
      <c r="G179" s="44"/>
      <c r="H179" s="44"/>
      <c r="I179" s="125"/>
      <c r="J179" s="45"/>
      <c r="K179" s="44"/>
      <c r="L179" s="44"/>
      <c r="M179" s="44"/>
      <c r="N179" s="44"/>
      <c r="O179" s="44"/>
      <c r="P179" s="44"/>
      <c r="Q179" s="45"/>
      <c r="R179" s="44" t="s">
        <v>1014</v>
      </c>
      <c r="S179" s="44" t="s">
        <v>200</v>
      </c>
      <c r="T179" s="44" t="s">
        <v>5</v>
      </c>
      <c r="U179" s="44" t="s">
        <v>24</v>
      </c>
      <c r="V179" s="45"/>
      <c r="W179" s="44" t="s">
        <v>1598</v>
      </c>
      <c r="X179" s="44" t="s">
        <v>1015</v>
      </c>
      <c r="Y179" s="44" t="s">
        <v>1016</v>
      </c>
      <c r="Z179" s="46" t="s">
        <v>122</v>
      </c>
      <c r="AA179" s="44" t="s">
        <v>1017</v>
      </c>
      <c r="AB179" s="44" t="s">
        <v>1018</v>
      </c>
      <c r="AC179" s="44" t="s">
        <v>1495</v>
      </c>
      <c r="AD179" s="44" t="s">
        <v>1599</v>
      </c>
      <c r="AE179" s="45"/>
      <c r="AF179" s="68" t="str">
        <f>HYPERLINK("https://drive.google.com/open?id=1tH6Fvapctyx5_ATT9iAxEzBI59TC9Xru","Borek a Moris.JPG")</f>
        <v>Borek a Moris.JPG</v>
      </c>
      <c r="AG179" s="68" t="str">
        <f>HYPERLINK("https://drive.google.com/open?id=1ywAniFqqguvbWYBY-5Te6HoMrN_eAvN1","Morris (5).png")</f>
        <v>Morris (5).png</v>
      </c>
      <c r="AH179" s="68" t="str">
        <f>HYPERLINK("https://drive.google.com/open?id=1hfftDZ1kCkNWFHtR43ZhnVE8DASxkDrZ","Morris (8).png")</f>
        <v>Morris (8).png</v>
      </c>
      <c r="AI179" s="68" t="str">
        <f>HYPERLINK("https://drive.google.com/open?id=15rbTmxmmNCfkLon8XMmO_3HCD3meOTUn","Morris (6).png")</f>
        <v>Morris (6).png</v>
      </c>
      <c r="AJ179" s="68" t="str">
        <f>HYPERLINK("https://drive.google.com/open?id=1Il5FvPD9Pbd3gv6mESbhOUClbCX13AjD","Morris (4).png")</f>
        <v>Morris (4).png</v>
      </c>
      <c r="AK179" s="68" t="str">
        <f>HYPERLINK("https://drive.google.com/open?id=14H1WQFO1D37ZPX0Sr8pHSQKyLqMkOD5E","morris.png")</f>
        <v>morris.png</v>
      </c>
      <c r="AL179" s="68" t="str">
        <f>HYPERLINK("https://drive.google.com/open?id=1RqmcJ7ph4zNsx1cPEPcF7dC61W8hr5cj","Morris (2).png")</f>
        <v>Morris (2).png</v>
      </c>
      <c r="AM179" s="44" t="s">
        <v>4</v>
      </c>
      <c r="AN179" s="45"/>
      <c r="AO179" s="44" t="s">
        <v>1019</v>
      </c>
      <c r="AP179" s="44" t="s">
        <v>25</v>
      </c>
      <c r="AQ179" s="44" t="s">
        <v>25</v>
      </c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</row>
    <row r="180" spans="1:64" ht="23.25" customHeight="1">
      <c r="A180" s="42">
        <v>94</v>
      </c>
      <c r="B180" s="32">
        <v>11</v>
      </c>
      <c r="C180" s="48">
        <v>11</v>
      </c>
      <c r="D180" s="48">
        <f t="shared" si="2"/>
        <v>11</v>
      </c>
      <c r="E180" s="44"/>
      <c r="F180" s="44"/>
      <c r="G180" s="44"/>
      <c r="H180" s="44"/>
      <c r="I180" s="44"/>
      <c r="J180" s="50"/>
      <c r="K180" s="44"/>
      <c r="L180" s="44"/>
      <c r="M180" s="44"/>
      <c r="N180" s="44"/>
      <c r="O180" s="44"/>
      <c r="P180" s="44"/>
      <c r="Q180" s="50"/>
      <c r="R180" s="44" t="s">
        <v>764</v>
      </c>
      <c r="S180" s="44" t="s">
        <v>266</v>
      </c>
      <c r="T180" s="44" t="s">
        <v>5</v>
      </c>
      <c r="U180" s="44" t="s">
        <v>255</v>
      </c>
      <c r="V180" s="50"/>
      <c r="W180" s="44" t="s">
        <v>1600</v>
      </c>
      <c r="X180" s="44">
        <v>53646</v>
      </c>
      <c r="Y180" s="44" t="s">
        <v>765</v>
      </c>
      <c r="Z180" s="46" t="s">
        <v>766</v>
      </c>
      <c r="AA180" s="44" t="s">
        <v>415</v>
      </c>
      <c r="AB180" s="44" t="s">
        <v>767</v>
      </c>
      <c r="AC180" s="44" t="s">
        <v>1446</v>
      </c>
      <c r="AD180" s="44" t="s">
        <v>1446</v>
      </c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44" t="s">
        <v>768</v>
      </c>
      <c r="AP180" s="44" t="s">
        <v>33</v>
      </c>
      <c r="AQ180" s="44" t="s">
        <v>25</v>
      </c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44"/>
      <c r="BI180" s="45"/>
      <c r="BJ180" s="45"/>
      <c r="BK180" s="45"/>
      <c r="BL180" s="45"/>
    </row>
    <row r="181" spans="1:64" ht="23.25" customHeight="1">
      <c r="A181" s="42">
        <v>93</v>
      </c>
      <c r="B181" s="32">
        <v>12</v>
      </c>
      <c r="C181" s="48">
        <v>12</v>
      </c>
      <c r="D181" s="48">
        <f t="shared" si="2"/>
        <v>12</v>
      </c>
      <c r="E181" s="44"/>
      <c r="F181" s="44"/>
      <c r="G181" s="44"/>
      <c r="H181" s="44"/>
      <c r="I181" s="44"/>
      <c r="J181" s="50"/>
      <c r="K181" s="44"/>
      <c r="L181" s="44"/>
      <c r="M181" s="44"/>
      <c r="N181" s="44"/>
      <c r="O181" s="44"/>
      <c r="P181" s="44"/>
      <c r="Q181" s="50"/>
      <c r="R181" s="44" t="s">
        <v>761</v>
      </c>
      <c r="S181" s="44" t="s">
        <v>266</v>
      </c>
      <c r="T181" s="44" t="s">
        <v>5</v>
      </c>
      <c r="U181" s="50"/>
      <c r="V181" s="50"/>
      <c r="W181" s="44" t="s">
        <v>1601</v>
      </c>
      <c r="X181" s="44">
        <v>53662</v>
      </c>
      <c r="Y181" s="44" t="s">
        <v>127</v>
      </c>
      <c r="Z181" s="46" t="s">
        <v>414</v>
      </c>
      <c r="AA181" s="44" t="s">
        <v>275</v>
      </c>
      <c r="AB181" s="44" t="s">
        <v>762</v>
      </c>
      <c r="AC181" s="44" t="s">
        <v>1446</v>
      </c>
      <c r="AD181" s="44" t="s">
        <v>1446</v>
      </c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44" t="s">
        <v>763</v>
      </c>
      <c r="AP181" s="44" t="s">
        <v>33</v>
      </c>
      <c r="AQ181" s="44" t="s">
        <v>25</v>
      </c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44"/>
      <c r="BI181" s="45"/>
      <c r="BJ181" s="45"/>
      <c r="BK181" s="45"/>
      <c r="BL181" s="45"/>
    </row>
    <row r="182" spans="1:64" ht="23.25" customHeight="1">
      <c r="A182" s="85">
        <v>57</v>
      </c>
      <c r="B182" s="32">
        <v>13</v>
      </c>
      <c r="C182" s="48">
        <v>13</v>
      </c>
      <c r="D182" s="64">
        <f t="shared" si="2"/>
        <v>13</v>
      </c>
      <c r="E182" s="64"/>
      <c r="F182" s="64"/>
      <c r="G182" s="64"/>
      <c r="H182" s="64"/>
      <c r="I182" s="90"/>
      <c r="J182" s="86"/>
      <c r="K182" s="64"/>
      <c r="L182" s="64"/>
      <c r="M182" s="64"/>
      <c r="N182" s="64"/>
      <c r="O182" s="64"/>
      <c r="P182" s="64"/>
      <c r="Q182" s="86"/>
      <c r="R182" s="64" t="s">
        <v>501</v>
      </c>
      <c r="S182" s="64" t="s">
        <v>502</v>
      </c>
      <c r="T182" s="64" t="s">
        <v>5</v>
      </c>
      <c r="U182" s="64" t="s">
        <v>24</v>
      </c>
      <c r="V182" s="86"/>
      <c r="W182" s="64" t="s">
        <v>1602</v>
      </c>
      <c r="X182" s="64">
        <v>43313</v>
      </c>
      <c r="Y182" s="64" t="s">
        <v>503</v>
      </c>
      <c r="Z182" s="65" t="s">
        <v>122</v>
      </c>
      <c r="AA182" s="64" t="s">
        <v>504</v>
      </c>
      <c r="AB182" s="64" t="s">
        <v>505</v>
      </c>
      <c r="AC182" s="64" t="s">
        <v>1495</v>
      </c>
      <c r="AD182" s="64" t="s">
        <v>1533</v>
      </c>
      <c r="AE182" s="86"/>
      <c r="AF182" s="86"/>
      <c r="AG182" s="87" t="str">
        <f>HYPERLINK("https://drive.google.com/open?id=12n73_VbBYF5UBzo8F-SqCPFhNsAN0mgR","platba Prokopová.jpeg")</f>
        <v>platba Prokopová.jpeg</v>
      </c>
      <c r="AH182" s="86"/>
      <c r="AI182" s="86"/>
      <c r="AJ182" s="87" t="str">
        <f>HYPERLINK("https://drive.google.com/open?id=1zJvH5kQ7BJ-uNj92hgnNWH758O6rmnrN","Orry pp.jpg")</f>
        <v>Orry pp.jpg</v>
      </c>
      <c r="AK182" s="86"/>
      <c r="AL182" s="86"/>
      <c r="AM182" s="64" t="s">
        <v>4</v>
      </c>
      <c r="AN182" s="86"/>
      <c r="AO182" s="64" t="s">
        <v>506</v>
      </c>
      <c r="AP182" s="64" t="s">
        <v>25</v>
      </c>
      <c r="AQ182" s="64" t="s">
        <v>25</v>
      </c>
      <c r="AR182" s="86"/>
      <c r="AS182" s="86"/>
      <c r="AT182" s="86"/>
      <c r="AU182" s="88"/>
      <c r="AV182" s="88"/>
      <c r="AW182" s="88"/>
      <c r="AX182" s="88"/>
      <c r="AY182" s="88"/>
      <c r="AZ182" s="88"/>
      <c r="BA182" s="88"/>
      <c r="BB182" s="88"/>
      <c r="BC182" s="88"/>
      <c r="BD182" s="88"/>
      <c r="BE182" s="88"/>
      <c r="BF182" s="88"/>
      <c r="BG182" s="88"/>
      <c r="BH182" s="64"/>
      <c r="BI182" s="89"/>
      <c r="BJ182" s="89"/>
      <c r="BK182" s="89"/>
      <c r="BL182" s="89"/>
    </row>
    <row r="183" spans="1:64" ht="23.25" customHeight="1">
      <c r="A183" s="31">
        <v>121</v>
      </c>
      <c r="B183" s="32">
        <v>14</v>
      </c>
      <c r="C183" s="115">
        <v>14</v>
      </c>
      <c r="D183" s="48">
        <f t="shared" si="2"/>
        <v>14</v>
      </c>
      <c r="E183" s="48"/>
      <c r="F183" s="48"/>
      <c r="G183" s="48"/>
      <c r="H183" s="48"/>
      <c r="I183" s="48"/>
      <c r="J183" s="51"/>
      <c r="K183" s="48"/>
      <c r="L183" s="48"/>
      <c r="M183" s="48"/>
      <c r="N183" s="48"/>
      <c r="O183" s="51"/>
      <c r="P183" s="48"/>
      <c r="Q183" s="51"/>
      <c r="R183" s="48" t="s">
        <v>950</v>
      </c>
      <c r="S183" s="48" t="s">
        <v>951</v>
      </c>
      <c r="T183" s="48" t="s">
        <v>5</v>
      </c>
      <c r="U183" s="48" t="s">
        <v>255</v>
      </c>
      <c r="V183" s="51"/>
      <c r="W183" s="48" t="s">
        <v>1603</v>
      </c>
      <c r="X183" s="48">
        <v>981189900077591</v>
      </c>
      <c r="Y183" s="48" t="s">
        <v>3</v>
      </c>
      <c r="Z183" s="52" t="s">
        <v>952</v>
      </c>
      <c r="AA183" s="48" t="s">
        <v>953</v>
      </c>
      <c r="AB183" s="48" t="s">
        <v>317</v>
      </c>
      <c r="AC183" s="48" t="s">
        <v>1604</v>
      </c>
      <c r="AD183" s="48" t="s">
        <v>1547</v>
      </c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48" t="s">
        <v>954</v>
      </c>
      <c r="AP183" s="48" t="s">
        <v>246</v>
      </c>
      <c r="AQ183" s="48" t="s">
        <v>955</v>
      </c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</row>
    <row r="184" spans="1:64" ht="23.25" customHeight="1">
      <c r="A184" s="62">
        <v>25</v>
      </c>
      <c r="B184" s="32">
        <v>15</v>
      </c>
      <c r="C184" s="48">
        <v>15</v>
      </c>
      <c r="D184" s="64">
        <f t="shared" si="2"/>
        <v>15</v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 t="s">
        <v>273</v>
      </c>
      <c r="S184" s="66" t="s">
        <v>266</v>
      </c>
      <c r="T184" s="64" t="s">
        <v>5</v>
      </c>
      <c r="U184" s="64" t="s">
        <v>255</v>
      </c>
      <c r="V184" s="64"/>
      <c r="W184" s="64" t="s">
        <v>1605</v>
      </c>
      <c r="X184" s="64" t="s">
        <v>274</v>
      </c>
      <c r="Y184" s="64" t="s">
        <v>127</v>
      </c>
      <c r="Z184" s="65" t="s">
        <v>359</v>
      </c>
      <c r="AA184" s="64" t="s">
        <v>275</v>
      </c>
      <c r="AB184" s="64" t="s">
        <v>276</v>
      </c>
      <c r="AC184" s="64" t="s">
        <v>1446</v>
      </c>
      <c r="AD184" s="64" t="s">
        <v>1412</v>
      </c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 t="s">
        <v>277</v>
      </c>
      <c r="AP184" s="64" t="s">
        <v>271</v>
      </c>
      <c r="AQ184" s="64" t="s">
        <v>25</v>
      </c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</row>
    <row r="185" spans="1:64" ht="23.25" customHeight="1">
      <c r="A185" s="62">
        <v>18</v>
      </c>
      <c r="B185" s="32">
        <v>16</v>
      </c>
      <c r="C185" s="48">
        <v>16</v>
      </c>
      <c r="D185" s="64">
        <f t="shared" si="2"/>
        <v>16</v>
      </c>
      <c r="E185" s="64"/>
      <c r="F185" s="64"/>
      <c r="G185" s="64"/>
      <c r="H185" s="64"/>
      <c r="I185" s="76"/>
      <c r="J185" s="64"/>
      <c r="K185" s="64"/>
      <c r="L185" s="64"/>
      <c r="M185" s="64"/>
      <c r="N185" s="64"/>
      <c r="O185" s="64"/>
      <c r="P185" s="64"/>
      <c r="Q185" s="64"/>
      <c r="R185" s="64" t="s">
        <v>1606</v>
      </c>
      <c r="S185" s="64" t="s">
        <v>225</v>
      </c>
      <c r="T185" s="64" t="s">
        <v>5</v>
      </c>
      <c r="U185" s="64" t="s">
        <v>24</v>
      </c>
      <c r="V185" s="64"/>
      <c r="W185" s="64" t="s">
        <v>1607</v>
      </c>
      <c r="X185" s="64" t="s">
        <v>226</v>
      </c>
      <c r="Y185" s="64" t="s">
        <v>227</v>
      </c>
      <c r="Z185" s="65" t="s">
        <v>228</v>
      </c>
      <c r="AA185" s="64" t="s">
        <v>229</v>
      </c>
      <c r="AB185" s="64" t="s">
        <v>230</v>
      </c>
      <c r="AC185" s="64" t="s">
        <v>1608</v>
      </c>
      <c r="AD185" s="64" t="s">
        <v>1608</v>
      </c>
      <c r="AE185" s="64"/>
      <c r="AF185" s="64"/>
      <c r="AG185" s="79" t="str">
        <f>HYPERLINK("https://drive.google.com/open?id=1Jd1LKyQfY_uxCWdl00xT2liqiQ9AD67w","platba.txt")</f>
        <v>platba.txt</v>
      </c>
      <c r="AH185" s="79" t="str">
        <f>HYPERLINK("https://drive.google.com/open?id=1ew89ctoAqA0yOHbbfn8HYyu-nAILb4CC","členství.pdf")</f>
        <v>členství.pdf</v>
      </c>
      <c r="AI185" s="79" t="str">
        <f>HYPERLINK("https://drive.google.com/open?id=1GsUaDMFqRRy9rWepROJEqUVMQ8gd_bu1","ZVV1.pdf")</f>
        <v>ZVV1.pdf</v>
      </c>
      <c r="AJ185" s="79" t="str">
        <f>HYPERLINK("https://drive.google.com/open?id=1R5wc3FOKDAAEBRyytftx0d_akJcV9pk_","PP Saymon.pdf")</f>
        <v>PP Saymon.pdf</v>
      </c>
      <c r="AK185" s="64"/>
      <c r="AL185" s="64"/>
      <c r="AM185" s="64" t="s">
        <v>4</v>
      </c>
      <c r="AN185" s="64"/>
      <c r="AO185" s="64" t="s">
        <v>231</v>
      </c>
      <c r="AP185" s="64" t="s">
        <v>25</v>
      </c>
      <c r="AQ185" s="64" t="s">
        <v>25</v>
      </c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</row>
    <row r="186" spans="1:64" ht="23.25" customHeight="1">
      <c r="A186" s="62">
        <v>7</v>
      </c>
      <c r="B186" s="32">
        <v>17</v>
      </c>
      <c r="C186" s="48">
        <v>17</v>
      </c>
      <c r="D186" s="64">
        <f t="shared" si="2"/>
        <v>17</v>
      </c>
      <c r="E186" s="64"/>
      <c r="F186" s="64"/>
      <c r="G186" s="64"/>
      <c r="H186" s="64"/>
      <c r="I186" s="76"/>
      <c r="J186" s="64"/>
      <c r="K186" s="27"/>
      <c r="L186" s="64"/>
      <c r="M186" s="64"/>
      <c r="N186" s="64"/>
      <c r="O186" s="64"/>
      <c r="P186" s="27"/>
      <c r="Q186" s="64"/>
      <c r="R186" s="64" t="s">
        <v>119</v>
      </c>
      <c r="S186" s="64" t="s">
        <v>120</v>
      </c>
      <c r="T186" s="64" t="s">
        <v>5</v>
      </c>
      <c r="U186" s="64" t="s">
        <v>24</v>
      </c>
      <c r="V186" s="64"/>
      <c r="W186" s="77" t="s">
        <v>1609</v>
      </c>
      <c r="X186" s="78">
        <v>981020000413147</v>
      </c>
      <c r="Y186" s="64" t="s">
        <v>121</v>
      </c>
      <c r="Z186" s="65" t="s">
        <v>122</v>
      </c>
      <c r="AA186" s="64" t="s">
        <v>123</v>
      </c>
      <c r="AB186" s="64" t="s">
        <v>124</v>
      </c>
      <c r="AC186" s="64" t="s">
        <v>1610</v>
      </c>
      <c r="AD186" s="64" t="s">
        <v>1482</v>
      </c>
      <c r="AE186" s="64"/>
      <c r="AF186" s="64"/>
      <c r="AG186" s="79" t="str">
        <f>HYPERLINK("https://drive.google.com/open?id=1Dxe-3mgVHJpPT_tX2V9k_rwb8oOtfcSP","platba Klubovka 2021.pdf")</f>
        <v>platba Klubovka 2021.pdf</v>
      </c>
      <c r="AH186" s="64"/>
      <c r="AI186" s="64"/>
      <c r="AJ186" s="79" t="str">
        <f>HYPERLINK("https://drive.google.com/open?id=1vA1ClzwmpRPZh22YyOQfZ8OCj2R-yPwi","Simon pp1.JPG")</f>
        <v>Simon pp1.JPG</v>
      </c>
      <c r="AK186" s="79" t="str">
        <f>HYPERLINK("https://drive.google.com/open?id=1H-Ispo3N-MUR_eScBNE9hAw8EnqQc2xA","Simonn pp2.JPG")</f>
        <v>Simonn pp2.JPG</v>
      </c>
      <c r="AL186" s="64"/>
      <c r="AM186" s="64" t="s">
        <v>4</v>
      </c>
      <c r="AN186" s="64"/>
      <c r="AO186" s="64" t="s">
        <v>1611</v>
      </c>
      <c r="AP186" s="64" t="s">
        <v>33</v>
      </c>
      <c r="AQ186" s="64" t="s">
        <v>25</v>
      </c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</row>
    <row r="187" spans="1:64" ht="23.25" customHeight="1">
      <c r="A187" s="31">
        <v>43</v>
      </c>
      <c r="B187" s="32">
        <v>18</v>
      </c>
      <c r="C187" s="115">
        <v>18</v>
      </c>
      <c r="D187" s="33">
        <f t="shared" si="2"/>
        <v>18</v>
      </c>
      <c r="E187" s="33"/>
      <c r="F187" s="33"/>
      <c r="G187" s="33"/>
      <c r="H187" s="33"/>
      <c r="I187" s="33"/>
      <c r="J187" s="34"/>
      <c r="K187" s="33"/>
      <c r="L187" s="33"/>
      <c r="M187" s="33"/>
      <c r="N187" s="33"/>
      <c r="O187" s="33"/>
      <c r="P187" s="33"/>
      <c r="Q187" s="34"/>
      <c r="R187" s="33" t="s">
        <v>412</v>
      </c>
      <c r="S187" s="33" t="s">
        <v>266</v>
      </c>
      <c r="T187" s="33" t="s">
        <v>5</v>
      </c>
      <c r="U187" s="33" t="s">
        <v>255</v>
      </c>
      <c r="V187" s="34"/>
      <c r="W187" s="33" t="s">
        <v>1612</v>
      </c>
      <c r="X187" s="33" t="s">
        <v>413</v>
      </c>
      <c r="Y187" s="33" t="s">
        <v>127</v>
      </c>
      <c r="Z187" s="35" t="s">
        <v>414</v>
      </c>
      <c r="AA187" s="33" t="s">
        <v>415</v>
      </c>
      <c r="AB187" s="33" t="s">
        <v>379</v>
      </c>
      <c r="AC187" s="33" t="s">
        <v>1446</v>
      </c>
      <c r="AD187" s="33" t="s">
        <v>1439</v>
      </c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3" t="s">
        <v>1613</v>
      </c>
      <c r="AP187" s="33" t="s">
        <v>33</v>
      </c>
      <c r="AQ187" s="33" t="s">
        <v>25</v>
      </c>
      <c r="AR187" s="34"/>
      <c r="AS187" s="34"/>
      <c r="AT187" s="34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3"/>
      <c r="BI187" s="33"/>
      <c r="BJ187" s="33"/>
      <c r="BK187" s="33"/>
      <c r="BL187" s="33"/>
    </row>
    <row r="188" spans="1:64" ht="23.25" customHeight="1">
      <c r="A188" s="31">
        <v>72</v>
      </c>
      <c r="B188" s="32">
        <v>19</v>
      </c>
      <c r="C188" s="48">
        <v>19</v>
      </c>
      <c r="D188" s="64">
        <f t="shared" si="2"/>
        <v>19</v>
      </c>
      <c r="E188" s="64"/>
      <c r="F188" s="64"/>
      <c r="G188" s="64"/>
      <c r="H188" s="64"/>
      <c r="I188" s="65"/>
      <c r="J188" s="86"/>
      <c r="K188" s="64"/>
      <c r="L188" s="64"/>
      <c r="M188" s="64"/>
      <c r="N188" s="64"/>
      <c r="O188" s="64"/>
      <c r="P188" s="64"/>
      <c r="Q188" s="86"/>
      <c r="R188" s="64" t="s">
        <v>634</v>
      </c>
      <c r="S188" s="64" t="s">
        <v>635</v>
      </c>
      <c r="T188" s="64" t="s">
        <v>5</v>
      </c>
      <c r="U188" s="64" t="s">
        <v>24</v>
      </c>
      <c r="V188" s="64"/>
      <c r="W188" s="64" t="s">
        <v>1614</v>
      </c>
      <c r="X188" s="64">
        <v>191100000851211</v>
      </c>
      <c r="Y188" s="64" t="s">
        <v>636</v>
      </c>
      <c r="Z188" s="65" t="s">
        <v>637</v>
      </c>
      <c r="AA188" s="64" t="s">
        <v>638</v>
      </c>
      <c r="AB188" s="64" t="s">
        <v>639</v>
      </c>
      <c r="AC188" s="64" t="s">
        <v>1615</v>
      </c>
      <c r="AD188" s="64" t="s">
        <v>1492</v>
      </c>
      <c r="AE188" s="86"/>
      <c r="AF188" s="86"/>
      <c r="AG188" s="87" t="str">
        <f>HYPERLINK("https://drive.google.com/open?id=1bzeysExq0J3wrs1QIV7h06PuOSA7n_vu","export_20210726_0954.pdf")</f>
        <v>export_20210726_0954.pdf</v>
      </c>
      <c r="AH188" s="87" t="str">
        <f>HYPERLINK("https://drive.google.com/open?id=1I6-0Nwx457vOqTFb0EnzSHgpUEuGKevr","img635.pdf")</f>
        <v>img635.pdf</v>
      </c>
      <c r="AI188" s="87" t="str">
        <f>HYPERLINK("https://drive.google.com/open?id=1_uRpMywrslWH-wUkQtUo3rTinF2B7jVM","img636.pdf")</f>
        <v>img636.pdf</v>
      </c>
      <c r="AJ188" s="87" t="str">
        <f>HYPERLINK("https://drive.google.com/open?id=15gLy2Y3xovPMm2z5zU9UZvbm3jGH8Hsh","img637.pdf")</f>
        <v>img637.pdf</v>
      </c>
      <c r="AK188" s="86"/>
      <c r="AL188" s="86"/>
      <c r="AM188" s="64" t="s">
        <v>4</v>
      </c>
      <c r="AN188" s="86"/>
      <c r="AO188" s="64" t="s">
        <v>640</v>
      </c>
      <c r="AP188" s="64" t="s">
        <v>25</v>
      </c>
      <c r="AQ188" s="64" t="s">
        <v>25</v>
      </c>
      <c r="AR188" s="86"/>
      <c r="AS188" s="86"/>
      <c r="AT188" s="86"/>
      <c r="AU188" s="88"/>
      <c r="AV188" s="88"/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64"/>
      <c r="BI188" s="89"/>
      <c r="BJ188" s="89"/>
      <c r="BK188" s="89"/>
      <c r="BL188" s="89"/>
    </row>
    <row r="189" spans="1:64" ht="23.25" customHeight="1">
      <c r="A189" s="31">
        <v>100</v>
      </c>
      <c r="B189" s="32">
        <v>20</v>
      </c>
      <c r="C189" s="48">
        <v>20</v>
      </c>
      <c r="D189" s="48">
        <f t="shared" si="2"/>
        <v>20</v>
      </c>
      <c r="E189" s="48"/>
      <c r="F189" s="48"/>
      <c r="G189" s="48"/>
      <c r="H189" s="48"/>
      <c r="I189" s="48"/>
      <c r="J189" s="51"/>
      <c r="K189" s="48"/>
      <c r="L189" s="48"/>
      <c r="M189" s="48"/>
      <c r="N189" s="48"/>
      <c r="O189" s="48"/>
      <c r="P189" s="48"/>
      <c r="Q189" s="51"/>
      <c r="R189" s="48" t="s">
        <v>789</v>
      </c>
      <c r="S189" s="48" t="s">
        <v>774</v>
      </c>
      <c r="T189" s="48" t="s">
        <v>5</v>
      </c>
      <c r="U189" s="48" t="s">
        <v>255</v>
      </c>
      <c r="V189" s="51"/>
      <c r="W189" s="48" t="s">
        <v>1616</v>
      </c>
      <c r="X189" s="48" t="s">
        <v>790</v>
      </c>
      <c r="Y189" s="48" t="s">
        <v>127</v>
      </c>
      <c r="Z189" s="52" t="s">
        <v>359</v>
      </c>
      <c r="AA189" s="48" t="s">
        <v>791</v>
      </c>
      <c r="AB189" s="48" t="s">
        <v>792</v>
      </c>
      <c r="AC189" s="48" t="s">
        <v>1419</v>
      </c>
      <c r="AD189" s="48" t="s">
        <v>1419</v>
      </c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48" t="s">
        <v>793</v>
      </c>
      <c r="AP189" s="48" t="s">
        <v>33</v>
      </c>
      <c r="AQ189" s="48" t="s">
        <v>25</v>
      </c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  <c r="BL189" s="51"/>
    </row>
    <row r="190" spans="1:64" ht="23.25" customHeight="1">
      <c r="A190" s="85">
        <v>53</v>
      </c>
      <c r="B190" s="32">
        <v>21</v>
      </c>
      <c r="C190" s="48">
        <v>21</v>
      </c>
      <c r="D190" s="64">
        <f t="shared" si="2"/>
        <v>21</v>
      </c>
      <c r="E190" s="64"/>
      <c r="F190" s="64"/>
      <c r="G190" s="64"/>
      <c r="H190" s="64"/>
      <c r="I190" s="90"/>
      <c r="J190" s="86"/>
      <c r="K190" s="64"/>
      <c r="L190" s="64"/>
      <c r="M190" s="64"/>
      <c r="N190" s="64"/>
      <c r="O190" s="64"/>
      <c r="P190" s="64"/>
      <c r="Q190" s="86"/>
      <c r="R190" s="64" t="s">
        <v>483</v>
      </c>
      <c r="S190" s="64" t="s">
        <v>484</v>
      </c>
      <c r="T190" s="64" t="s">
        <v>5</v>
      </c>
      <c r="U190" s="64" t="s">
        <v>24</v>
      </c>
      <c r="V190" s="86"/>
      <c r="W190" s="64" t="s">
        <v>1617</v>
      </c>
      <c r="X190" s="64">
        <v>63528</v>
      </c>
      <c r="Y190" s="64" t="s">
        <v>485</v>
      </c>
      <c r="Z190" s="65" t="s">
        <v>122</v>
      </c>
      <c r="AA190" s="64" t="s">
        <v>486</v>
      </c>
      <c r="AB190" s="64" t="s">
        <v>487</v>
      </c>
      <c r="AC190" s="64" t="s">
        <v>1533</v>
      </c>
      <c r="AD190" s="64" t="s">
        <v>1533</v>
      </c>
      <c r="AE190" s="86"/>
      <c r="AF190" s="86"/>
      <c r="AG190" s="87" t="str">
        <f>HYPERLINK("https://drive.google.com/open?id=1pKChbIdF6W8rZcS_tkxogU3e1T7_SsoP","platba Prokopová.jpeg")</f>
        <v>platba Prokopová.jpeg</v>
      </c>
      <c r="AH190" s="86"/>
      <c r="AI190" s="86"/>
      <c r="AJ190" s="87" t="str">
        <f>HYPERLINK("https://drive.google.com/open?id=1rZMGlx5vlRdH1gMaTmRHE7rTOeQ3QvRV","Vanessa rodokmen.jpg")</f>
        <v>Vanessa rodokmen.jpg</v>
      </c>
      <c r="AK190" s="86"/>
      <c r="AL190" s="86"/>
      <c r="AM190" s="64" t="s">
        <v>4</v>
      </c>
      <c r="AN190" s="86"/>
      <c r="AO190" s="64" t="s">
        <v>488</v>
      </c>
      <c r="AP190" s="64" t="s">
        <v>25</v>
      </c>
      <c r="AQ190" s="64" t="s">
        <v>25</v>
      </c>
      <c r="AR190" s="86"/>
      <c r="AS190" s="86"/>
      <c r="AT190" s="86"/>
      <c r="AU190" s="88"/>
      <c r="AV190" s="88"/>
      <c r="AW190" s="88"/>
      <c r="AX190" s="88"/>
      <c r="AY190" s="88"/>
      <c r="AZ190" s="88"/>
      <c r="BA190" s="88"/>
      <c r="BB190" s="88"/>
      <c r="BC190" s="88"/>
      <c r="BD190" s="88"/>
      <c r="BE190" s="88"/>
      <c r="BF190" s="88"/>
      <c r="BG190" s="88"/>
      <c r="BH190" s="64"/>
      <c r="BI190" s="89"/>
      <c r="BJ190" s="89"/>
      <c r="BK190" s="89"/>
      <c r="BL190" s="89"/>
    </row>
    <row r="191" spans="1:64" ht="25.5">
      <c r="A191" s="44">
        <v>173</v>
      </c>
      <c r="B191" s="32">
        <v>22</v>
      </c>
      <c r="C191" s="115">
        <v>22</v>
      </c>
      <c r="D191" s="48">
        <f t="shared" si="2"/>
        <v>22</v>
      </c>
      <c r="E191" s="158"/>
      <c r="F191" s="158"/>
      <c r="G191" s="158"/>
      <c r="H191" s="158"/>
      <c r="I191" s="158"/>
      <c r="J191" s="173"/>
      <c r="K191" s="158"/>
      <c r="L191" s="158"/>
      <c r="M191" s="158"/>
      <c r="N191" s="173"/>
      <c r="O191" s="173"/>
      <c r="P191" s="158"/>
      <c r="Q191" s="173"/>
      <c r="R191" s="158" t="s">
        <v>1310</v>
      </c>
      <c r="S191" s="158" t="s">
        <v>1311</v>
      </c>
      <c r="T191" s="158" t="s">
        <v>5</v>
      </c>
      <c r="U191" s="158" t="s">
        <v>255</v>
      </c>
      <c r="V191" s="173"/>
      <c r="W191" s="158" t="s">
        <v>1618</v>
      </c>
      <c r="X191" s="158" t="s">
        <v>1312</v>
      </c>
      <c r="Y191" s="158" t="s">
        <v>1313</v>
      </c>
      <c r="Z191" s="160" t="s">
        <v>30</v>
      </c>
      <c r="AA191" s="158" t="s">
        <v>1314</v>
      </c>
      <c r="AB191" s="158" t="s">
        <v>1315</v>
      </c>
      <c r="AC191" s="158" t="s">
        <v>1316</v>
      </c>
      <c r="AD191" s="158" t="s">
        <v>1316</v>
      </c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58" t="s">
        <v>1317</v>
      </c>
      <c r="AP191" s="158" t="s">
        <v>25</v>
      </c>
      <c r="AQ191" s="158" t="s">
        <v>25</v>
      </c>
      <c r="AR191" s="173"/>
      <c r="AS191" s="173"/>
      <c r="AT191" s="173"/>
      <c r="AU191" s="173"/>
      <c r="AV191" s="173"/>
      <c r="AW191" s="173"/>
      <c r="AX191" s="173"/>
      <c r="AY191" s="173"/>
      <c r="AZ191" s="173"/>
      <c r="BA191" s="173"/>
      <c r="BB191" s="173"/>
      <c r="BC191" s="173"/>
      <c r="BD191" s="173"/>
      <c r="BE191" s="173"/>
      <c r="BF191" s="173"/>
      <c r="BG191" s="173"/>
      <c r="BH191" s="173"/>
      <c r="BI191" s="173"/>
      <c r="BJ191" s="173"/>
      <c r="BK191" s="173"/>
      <c r="BL191" s="173"/>
    </row>
    <row r="192" spans="1:64" ht="38.25">
      <c r="A192" s="174">
        <v>12</v>
      </c>
      <c r="B192" s="32">
        <v>23</v>
      </c>
      <c r="C192" s="48">
        <v>23</v>
      </c>
      <c r="D192" s="64">
        <f t="shared" si="2"/>
        <v>23</v>
      </c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 t="s">
        <v>164</v>
      </c>
      <c r="S192" s="175" t="s">
        <v>165</v>
      </c>
      <c r="T192" s="175" t="s">
        <v>5</v>
      </c>
      <c r="U192" s="175" t="s">
        <v>152</v>
      </c>
      <c r="V192" s="175"/>
      <c r="W192" s="175" t="s">
        <v>1619</v>
      </c>
      <c r="X192" s="175" t="s">
        <v>166</v>
      </c>
      <c r="Y192" s="175" t="s">
        <v>127</v>
      </c>
      <c r="Z192" s="176" t="s">
        <v>122</v>
      </c>
      <c r="AA192" s="175" t="s">
        <v>167</v>
      </c>
      <c r="AB192" s="175" t="s">
        <v>168</v>
      </c>
      <c r="AC192" s="175" t="s">
        <v>1535</v>
      </c>
      <c r="AD192" s="175" t="s">
        <v>1535</v>
      </c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 t="s">
        <v>169</v>
      </c>
      <c r="AP192" s="175" t="s">
        <v>25</v>
      </c>
      <c r="AQ192" s="175" t="s">
        <v>25</v>
      </c>
      <c r="AR192" s="175"/>
      <c r="AS192" s="175"/>
      <c r="AT192" s="175"/>
      <c r="AU192" s="175"/>
      <c r="AV192" s="175"/>
      <c r="AW192" s="175"/>
      <c r="AX192" s="175"/>
      <c r="AY192" s="175"/>
      <c r="AZ192" s="175"/>
      <c r="BA192" s="175"/>
      <c r="BB192" s="175"/>
      <c r="BC192" s="175"/>
      <c r="BD192" s="175"/>
      <c r="BE192" s="175"/>
      <c r="BF192" s="175"/>
      <c r="BG192" s="175"/>
      <c r="BH192" s="175"/>
      <c r="BI192" s="175"/>
      <c r="BJ192" s="175"/>
      <c r="BK192" s="175"/>
      <c r="BL192" s="175"/>
    </row>
    <row r="193" spans="1:64" ht="23.25" customHeight="1">
      <c r="A193" s="31">
        <v>169</v>
      </c>
      <c r="B193" s="32">
        <v>24</v>
      </c>
      <c r="C193" s="48">
        <v>24</v>
      </c>
      <c r="D193" s="48">
        <f t="shared" si="2"/>
        <v>24</v>
      </c>
      <c r="E193" s="48"/>
      <c r="F193" s="48"/>
      <c r="G193" s="48"/>
      <c r="H193" s="48"/>
      <c r="I193" s="48"/>
      <c r="J193" s="51"/>
      <c r="K193" s="48"/>
      <c r="L193" s="48"/>
      <c r="M193" s="48"/>
      <c r="N193" s="51"/>
      <c r="O193" s="51"/>
      <c r="P193" s="51"/>
      <c r="Q193" s="51"/>
      <c r="R193" s="48" t="s">
        <v>1277</v>
      </c>
      <c r="S193" s="48" t="s">
        <v>1278</v>
      </c>
      <c r="T193" s="48" t="s">
        <v>5</v>
      </c>
      <c r="U193" s="48" t="s">
        <v>255</v>
      </c>
      <c r="V193" s="51"/>
      <c r="W193" s="48" t="s">
        <v>1620</v>
      </c>
      <c r="X193" s="48" t="s">
        <v>1279</v>
      </c>
      <c r="Y193" s="48" t="s">
        <v>32</v>
      </c>
      <c r="Z193" s="52" t="s">
        <v>1280</v>
      </c>
      <c r="AA193" s="48" t="s">
        <v>1281</v>
      </c>
      <c r="AB193" s="48" t="s">
        <v>1282</v>
      </c>
      <c r="AC193" s="48" t="s">
        <v>1275</v>
      </c>
      <c r="AD193" s="48" t="s">
        <v>1275</v>
      </c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48" t="s">
        <v>1283</v>
      </c>
      <c r="AP193" s="48" t="s">
        <v>33</v>
      </c>
      <c r="AQ193" s="48" t="s">
        <v>25</v>
      </c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</row>
    <row r="194" spans="1:64" ht="23.25" customHeight="1">
      <c r="A194" s="31">
        <v>137</v>
      </c>
      <c r="B194" s="32">
        <v>25</v>
      </c>
      <c r="C194" s="48">
        <v>25</v>
      </c>
      <c r="D194" s="48">
        <f t="shared" si="2"/>
        <v>25</v>
      </c>
      <c r="E194" s="48"/>
      <c r="F194" s="48"/>
      <c r="G194" s="48"/>
      <c r="H194" s="48"/>
      <c r="I194" s="48"/>
      <c r="J194" s="51"/>
      <c r="K194" s="48"/>
      <c r="L194" s="48"/>
      <c r="M194" s="48"/>
      <c r="N194" s="48"/>
      <c r="O194" s="48"/>
      <c r="P194" s="48"/>
      <c r="Q194" s="51"/>
      <c r="R194" s="48" t="s">
        <v>1621</v>
      </c>
      <c r="S194" s="48" t="s">
        <v>1622</v>
      </c>
      <c r="T194" s="48" t="s">
        <v>5</v>
      </c>
      <c r="U194" s="48" t="s">
        <v>24</v>
      </c>
      <c r="V194" s="51"/>
      <c r="W194" s="48" t="s">
        <v>1623</v>
      </c>
      <c r="X194" s="48">
        <v>953010002311247</v>
      </c>
      <c r="Y194" s="48" t="s">
        <v>1084</v>
      </c>
      <c r="Z194" s="52" t="s">
        <v>1085</v>
      </c>
      <c r="AA194" s="48" t="s">
        <v>1086</v>
      </c>
      <c r="AB194" s="48" t="s">
        <v>1087</v>
      </c>
      <c r="AC194" s="48" t="s">
        <v>1624</v>
      </c>
      <c r="AD194" s="48" t="s">
        <v>1625</v>
      </c>
      <c r="AE194" s="51"/>
      <c r="AF194" s="55" t="str">
        <f>HYPERLINK("https://drive.google.com/open?id=1Uy33E8KjpB60TS5TFVrZtu5zvPC43tz3","Yzerah Manepo Ideál 1.jpg")</f>
        <v>Yzerah Manepo Ideál 1.jpg</v>
      </c>
      <c r="AG194" s="55" t="str">
        <f>HYPERLINK("https://drive.google.com/open?id=1o5jjgq6UAoR2txxG6EMlLF2Jfz7LmStC","Potvrzeni_platby (2).PDF")</f>
        <v>Potvrzeni_platby (2).PDF</v>
      </c>
      <c r="AH194" s="55" t="str">
        <f>HYPERLINK("https://drive.google.com/open?id=14mjLMSkqSK0FFAyENeRlp-jcBp_lFFQ5","vk před str.pdf")</f>
        <v>vk před str.pdf</v>
      </c>
      <c r="AI194" s="55" t="str">
        <f>HYPERLINK("https://drive.google.com/open?id=1eDf5dB0BblcBfJphrnlaD1ztZvNmkYvZ","vk.pdf")</f>
        <v>vk.pdf</v>
      </c>
      <c r="AJ194" s="55" t="str">
        <f>HYPERLINK("https://drive.google.com/open?id=1Q-mx0P3dorPTEqM2GXpGtn5VawtsS1Kh","zero pp4.pdf")</f>
        <v>zero pp4.pdf</v>
      </c>
      <c r="AK194" s="55" t="str">
        <f>HYPERLINK("https://drive.google.com/open?id=162pNk-lA0gKLUDeGXOwKI5TGKP7Dkvb8","yzerah 2.jpg")</f>
        <v>yzerah 2.jpg</v>
      </c>
      <c r="AL194" s="55" t="str">
        <f>HYPERLINK("https://drive.google.com/open?id=1HLlpbOst7KZ2BMRA3gtFc8HtOQJZboa7","yzerah 3.jpg")</f>
        <v>yzerah 3.jpg</v>
      </c>
      <c r="AM194" s="48" t="s">
        <v>4</v>
      </c>
      <c r="AN194" s="51"/>
      <c r="AO194" s="48" t="s">
        <v>1088</v>
      </c>
      <c r="AP194" s="48" t="s">
        <v>112</v>
      </c>
      <c r="AQ194" s="48" t="s">
        <v>25</v>
      </c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</row>
    <row r="195" spans="1:64" ht="12.75">
      <c r="A195" s="29" t="s">
        <v>1626</v>
      </c>
      <c r="B195" s="29"/>
      <c r="C195" s="30"/>
      <c r="D195" s="30">
        <f t="shared" si="2"/>
        <v>0</v>
      </c>
      <c r="E195" s="30">
        <f>SUM(C196:C201)</f>
        <v>110</v>
      </c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</row>
    <row r="196" spans="1:64" ht="23.25" customHeight="1">
      <c r="A196" s="31">
        <v>165</v>
      </c>
      <c r="B196" s="32">
        <v>26</v>
      </c>
      <c r="C196" s="48">
        <v>26</v>
      </c>
      <c r="D196" s="48">
        <f t="shared" ref="D196:D259" si="3">B196</f>
        <v>26</v>
      </c>
      <c r="E196" s="48"/>
      <c r="F196" s="48"/>
      <c r="G196" s="48"/>
      <c r="H196" s="48"/>
      <c r="I196" s="48"/>
      <c r="J196" s="48"/>
      <c r="K196" s="48"/>
      <c r="L196" s="48"/>
      <c r="M196" s="48"/>
      <c r="N196" s="51"/>
      <c r="O196" s="48"/>
      <c r="P196" s="51"/>
      <c r="Q196" s="51"/>
      <c r="R196" s="48" t="s">
        <v>1249</v>
      </c>
      <c r="S196" s="48" t="s">
        <v>1218</v>
      </c>
      <c r="T196" s="48" t="s">
        <v>5</v>
      </c>
      <c r="U196" s="48" t="s">
        <v>704</v>
      </c>
      <c r="V196" s="51"/>
      <c r="W196" s="48" t="s">
        <v>1627</v>
      </c>
      <c r="X196" s="48" t="s">
        <v>1250</v>
      </c>
      <c r="Y196" s="48" t="s">
        <v>1251</v>
      </c>
      <c r="Z196" s="52" t="s">
        <v>1252</v>
      </c>
      <c r="AA196" s="48" t="s">
        <v>1253</v>
      </c>
      <c r="AB196" s="48" t="s">
        <v>1254</v>
      </c>
      <c r="AC196" s="48" t="s">
        <v>1223</v>
      </c>
      <c r="AD196" s="48" t="s">
        <v>1255</v>
      </c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48" t="s">
        <v>1256</v>
      </c>
      <c r="AP196" s="48" t="s">
        <v>25</v>
      </c>
      <c r="AQ196" s="48" t="s">
        <v>25</v>
      </c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</row>
    <row r="197" spans="1:64" ht="23.25" customHeight="1">
      <c r="A197" s="38">
        <v>17</v>
      </c>
      <c r="B197" s="39">
        <v>27</v>
      </c>
      <c r="C197" s="40">
        <v>27</v>
      </c>
      <c r="D197" s="40">
        <f t="shared" si="3"/>
        <v>27</v>
      </c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 t="s">
        <v>210</v>
      </c>
      <c r="S197" s="40" t="s">
        <v>211</v>
      </c>
      <c r="T197" s="40" t="s">
        <v>5</v>
      </c>
      <c r="U197" s="40" t="s">
        <v>37</v>
      </c>
      <c r="V197" s="40"/>
      <c r="W197" s="40" t="s">
        <v>1628</v>
      </c>
      <c r="X197" s="40">
        <v>203096100146323</v>
      </c>
      <c r="Y197" s="40" t="s">
        <v>212</v>
      </c>
      <c r="Z197" s="41" t="s">
        <v>213</v>
      </c>
      <c r="AA197" s="40" t="s">
        <v>214</v>
      </c>
      <c r="AB197" s="40" t="s">
        <v>215</v>
      </c>
      <c r="AC197" s="40" t="s">
        <v>1173</v>
      </c>
      <c r="AD197" s="40" t="s">
        <v>1629</v>
      </c>
      <c r="AE197" s="40"/>
      <c r="AF197" s="40"/>
      <c r="AG197" s="95" t="str">
        <f>HYPERLINK("https://drive.google.com/open?id=1pja13XFVc2YeXqQ-Jmmlh4OBwKUgSgK4","Potvrzeni_o_odchozi_uhrade.pdf")</f>
        <v>Potvrzeni_o_odchozi_uhrade.pdf</v>
      </c>
      <c r="AH197" s="40"/>
      <c r="AI197" s="95" t="str">
        <f>HYPERLINK("https://drive.google.com/open?id=1qYwhesgd7oyU1wlfeT8RcWwyTuYdUMO8","3.pdf")</f>
        <v>3.pdf</v>
      </c>
      <c r="AJ197" s="95" t="str">
        <f>HYPERLINK("https://drive.google.com/open?id=1Un_4FTTQN0pYXGPngExwPThVdrqXCeW5","1.pdf")</f>
        <v>1.pdf</v>
      </c>
      <c r="AK197" s="95" t="str">
        <f>HYPERLINK("https://drive.google.com/open?id=1BevGbQRiAeDV2YqsSoQWYq6cmt9EgBZv","2.pdf")</f>
        <v>2.pdf</v>
      </c>
      <c r="AL197" s="95" t="str">
        <f>HYPERLINK("https://drive.google.com/open?id=1fp-T8uFzZBUCNS4VqV8KZnhp5P3QBLIX","4.pdf")</f>
        <v>4.pdf</v>
      </c>
      <c r="AM197" s="40" t="s">
        <v>4</v>
      </c>
      <c r="AN197" s="40"/>
      <c r="AO197" s="40" t="s">
        <v>216</v>
      </c>
      <c r="AP197" s="40" t="s">
        <v>217</v>
      </c>
      <c r="AQ197" s="40" t="s">
        <v>26</v>
      </c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</row>
    <row r="198" spans="1:64" ht="23.25" customHeight="1">
      <c r="A198" s="42">
        <v>83</v>
      </c>
      <c r="B198" s="39">
        <v>28</v>
      </c>
      <c r="C198" s="44">
        <v>28</v>
      </c>
      <c r="D198" s="44">
        <f t="shared" si="3"/>
        <v>28</v>
      </c>
      <c r="E198" s="44"/>
      <c r="F198" s="44"/>
      <c r="G198" s="44"/>
      <c r="H198" s="44"/>
      <c r="I198" s="44"/>
      <c r="J198" s="50"/>
      <c r="K198" s="50"/>
      <c r="L198" s="44"/>
      <c r="M198" s="44"/>
      <c r="N198" s="50"/>
      <c r="O198" s="50"/>
      <c r="P198" s="44"/>
      <c r="Q198" s="50"/>
      <c r="R198" s="44" t="s">
        <v>702</v>
      </c>
      <c r="S198" s="44" t="s">
        <v>703</v>
      </c>
      <c r="T198" s="44" t="s">
        <v>5</v>
      </c>
      <c r="U198" s="44" t="s">
        <v>704</v>
      </c>
      <c r="V198" s="50"/>
      <c r="W198" s="44" t="s">
        <v>1630</v>
      </c>
      <c r="X198" s="44" t="s">
        <v>705</v>
      </c>
      <c r="Y198" s="44" t="s">
        <v>706</v>
      </c>
      <c r="Z198" s="46" t="s">
        <v>707</v>
      </c>
      <c r="AA198" s="44" t="s">
        <v>708</v>
      </c>
      <c r="AB198" s="44" t="s">
        <v>709</v>
      </c>
      <c r="AC198" s="44" t="s">
        <v>1576</v>
      </c>
      <c r="AD198" s="44" t="s">
        <v>1631</v>
      </c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44" t="s">
        <v>710</v>
      </c>
      <c r="AP198" s="44">
        <v>0</v>
      </c>
      <c r="AQ198" s="44">
        <v>0</v>
      </c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44"/>
      <c r="BI198" s="45"/>
      <c r="BJ198" s="45"/>
      <c r="BK198" s="45"/>
      <c r="BL198" s="45"/>
    </row>
    <row r="199" spans="1:64" ht="23.25" customHeight="1">
      <c r="A199" s="119">
        <v>38</v>
      </c>
      <c r="B199" s="43">
        <v>29</v>
      </c>
      <c r="C199" s="64">
        <v>29</v>
      </c>
      <c r="D199" s="64">
        <f t="shared" si="3"/>
        <v>29</v>
      </c>
      <c r="E199" s="64"/>
      <c r="F199" s="64"/>
      <c r="G199" s="64"/>
      <c r="H199" s="64"/>
      <c r="I199" s="64"/>
      <c r="J199" s="86"/>
      <c r="K199" s="64"/>
      <c r="L199" s="64"/>
      <c r="M199" s="64"/>
      <c r="N199" s="64"/>
      <c r="O199" s="64"/>
      <c r="P199" s="64"/>
      <c r="Q199" s="86"/>
      <c r="R199" s="64" t="s">
        <v>375</v>
      </c>
      <c r="S199" s="64" t="s">
        <v>358</v>
      </c>
      <c r="T199" s="64" t="s">
        <v>5</v>
      </c>
      <c r="U199" s="64" t="s">
        <v>37</v>
      </c>
      <c r="V199" s="86"/>
      <c r="W199" s="64" t="s">
        <v>1632</v>
      </c>
      <c r="X199" s="64">
        <v>68526</v>
      </c>
      <c r="Y199" s="64" t="s">
        <v>376</v>
      </c>
      <c r="Z199" s="65" t="s">
        <v>377</v>
      </c>
      <c r="AA199" s="64" t="s">
        <v>378</v>
      </c>
      <c r="AB199" s="64" t="s">
        <v>379</v>
      </c>
      <c r="AC199" s="64" t="s">
        <v>1633</v>
      </c>
      <c r="AD199" s="81" t="s">
        <v>1633</v>
      </c>
      <c r="AE199" s="86"/>
      <c r="AF199" s="86"/>
      <c r="AG199" s="87" t="str">
        <f>HYPERLINK("https://drive.google.com/open?id=18auMbrYTvbbdrBXLc2smUtXXOyj_D2CV","Potvrzeni_o_platbe_RBCZ_20210721_0000.pdf")</f>
        <v>Potvrzeni_o_platbe_RBCZ_20210721_0000.pdf</v>
      </c>
      <c r="AH199" s="87" t="str">
        <f>HYPERLINK("https://drive.google.com/open?id=1v20_rS9NAuHHESRIcviM6mLNwpQzIoCr","184157471_323242655904558_6504414713627675612_n.jpg")</f>
        <v>184157471_323242655904558_6504414713627675612_n.jpg</v>
      </c>
      <c r="AI199" s="87" t="str">
        <f>HYPERLINK("https://drive.google.com/open?id=1hw8HgFtX7gl8EY0tvkpRNoNfJc3LEeWD","184164194_512202189938348_2030505151189963800_n.jpg")</f>
        <v>184164194_512202189938348_2030505151189963800_n.jpg</v>
      </c>
      <c r="AJ199" s="87" t="str">
        <f>HYPERLINK("https://drive.google.com/open?id=1MegYgSFugz1IyoHz5AWFbmCZWtY68JNG","Rony PSPP.png")</f>
        <v>Rony PSPP.png</v>
      </c>
      <c r="AK199" s="87" t="str">
        <f>HYPERLINK("https://drive.google.com/open?id=1g9RR9JxdLbkyNyE5Zjpctlf85Ubub-lB","Rony ZSPP.png")</f>
        <v>Rony ZSPP.png</v>
      </c>
      <c r="AL199" s="87" t="str">
        <f>HYPERLINK("https://drive.google.com/open?id=1sPrrm7w4DaNIr4ft-sj2RqQDY-1YHB3Y","Potvrzeni_o_platbe_RBCZ_20201030_0000.pdf")</f>
        <v>Potvrzeni_o_platbe_RBCZ_20201030_0000.pdf</v>
      </c>
      <c r="AM199" s="64" t="s">
        <v>4</v>
      </c>
      <c r="AN199" s="86"/>
      <c r="AO199" s="64" t="s">
        <v>380</v>
      </c>
      <c r="AP199" s="64" t="s">
        <v>33</v>
      </c>
      <c r="AQ199" s="64" t="s">
        <v>25</v>
      </c>
      <c r="AR199" s="86"/>
      <c r="AS199" s="86"/>
      <c r="AT199" s="86"/>
      <c r="AU199" s="64"/>
      <c r="AV199" s="88"/>
      <c r="AW199" s="88"/>
      <c r="AX199" s="88"/>
      <c r="AY199" s="88"/>
      <c r="AZ199" s="88"/>
      <c r="BA199" s="88"/>
      <c r="BB199" s="88"/>
      <c r="BC199" s="88"/>
      <c r="BD199" s="88"/>
      <c r="BE199" s="88"/>
      <c r="BF199" s="88"/>
      <c r="BG199" s="88"/>
      <c r="BH199" s="64"/>
      <c r="BI199" s="64"/>
      <c r="BJ199" s="64"/>
      <c r="BK199" s="64"/>
      <c r="BL199" s="64"/>
    </row>
    <row r="200" spans="1:64" ht="12.75">
      <c r="A200" s="27"/>
      <c r="B200" s="27"/>
      <c r="C200" s="28"/>
      <c r="D200" s="28">
        <f t="shared" si="3"/>
        <v>0</v>
      </c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7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</row>
    <row r="201" spans="1:64" ht="12.75">
      <c r="A201" s="27"/>
      <c r="B201" s="27"/>
      <c r="C201" s="28"/>
      <c r="D201" s="28">
        <f t="shared" si="3"/>
        <v>0</v>
      </c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</row>
    <row r="202" spans="1:64" ht="12.75">
      <c r="A202" s="29" t="s">
        <v>1634</v>
      </c>
      <c r="B202" s="29"/>
      <c r="C202" s="30"/>
      <c r="D202" s="30">
        <f t="shared" si="3"/>
        <v>0</v>
      </c>
      <c r="E202" s="30">
        <f>SUM(C203:C232)</f>
        <v>1218</v>
      </c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</row>
    <row r="203" spans="1:64" ht="23.25" customHeight="1">
      <c r="A203" s="85">
        <v>54</v>
      </c>
      <c r="B203" s="63">
        <v>1</v>
      </c>
      <c r="C203" s="64">
        <v>30</v>
      </c>
      <c r="D203" s="64">
        <f t="shared" si="3"/>
        <v>1</v>
      </c>
      <c r="E203" s="64"/>
      <c r="F203" s="64"/>
      <c r="G203" s="64"/>
      <c r="H203" s="64"/>
      <c r="I203" s="90"/>
      <c r="J203" s="86"/>
      <c r="K203" s="64"/>
      <c r="L203" s="64"/>
      <c r="M203" s="64"/>
      <c r="N203" s="64"/>
      <c r="O203" s="64"/>
      <c r="P203" s="64"/>
      <c r="Q203" s="86"/>
      <c r="R203" s="64" t="s">
        <v>489</v>
      </c>
      <c r="S203" s="64" t="s">
        <v>484</v>
      </c>
      <c r="T203" s="64" t="s">
        <v>2</v>
      </c>
      <c r="U203" s="64" t="s">
        <v>24</v>
      </c>
      <c r="V203" s="86"/>
      <c r="W203" s="64" t="s">
        <v>1635</v>
      </c>
      <c r="X203" s="64">
        <v>63926</v>
      </c>
      <c r="Y203" s="64" t="s">
        <v>490</v>
      </c>
      <c r="Z203" s="65" t="s">
        <v>122</v>
      </c>
      <c r="AA203" s="64" t="s">
        <v>486</v>
      </c>
      <c r="AB203" s="64" t="s">
        <v>491</v>
      </c>
      <c r="AC203" s="64" t="s">
        <v>1533</v>
      </c>
      <c r="AD203" s="64" t="s">
        <v>1533</v>
      </c>
      <c r="AE203" s="86"/>
      <c r="AF203" s="86"/>
      <c r="AG203" s="87" t="str">
        <f>HYPERLINK("https://drive.google.com/open?id=1iM9pPiOsX6T6bevcHbr3xCkeVfkLvWOx","platba Prokopová.jpeg")</f>
        <v>platba Prokopová.jpeg</v>
      </c>
      <c r="AH203" s="87" t="str">
        <f>HYPERLINK("https://drive.google.com/open?id=1JlxCO6P3QnzormQcp_pcoUtSXok0haO2","Agi potvr. o zkoušce.jpeg")</f>
        <v>Agi potvr. o zkoušce.jpeg</v>
      </c>
      <c r="AI203" s="86"/>
      <c r="AJ203" s="87" t="str">
        <f>HYPERLINK("https://drive.google.com/open?id=1A5Y1lmzomQDCNA33N8okXBj8xEJ-e61-","Agi pp.jpeg")</f>
        <v>Agi pp.jpeg</v>
      </c>
      <c r="AK203" s="87" t="str">
        <f>HYPERLINK("https://drive.google.com/open?id=1mXnsSEOiZhxnsu_PUJrzxQF5hDXGs5fT","Agi 1 Pp.jpeg")</f>
        <v>Agi 1 Pp.jpeg</v>
      </c>
      <c r="AL203" s="86"/>
      <c r="AM203" s="64" t="s">
        <v>4</v>
      </c>
      <c r="AN203" s="86"/>
      <c r="AO203" s="64" t="s">
        <v>492</v>
      </c>
      <c r="AP203" s="64" t="s">
        <v>25</v>
      </c>
      <c r="AQ203" s="64" t="s">
        <v>25</v>
      </c>
      <c r="AR203" s="86"/>
      <c r="AS203" s="86"/>
      <c r="AT203" s="86"/>
      <c r="AU203" s="88"/>
      <c r="AV203" s="88"/>
      <c r="AW203" s="88"/>
      <c r="AX203" s="88"/>
      <c r="AY203" s="88"/>
      <c r="AZ203" s="88"/>
      <c r="BA203" s="88"/>
      <c r="BB203" s="88"/>
      <c r="BC203" s="88"/>
      <c r="BD203" s="88"/>
      <c r="BE203" s="88"/>
      <c r="BF203" s="88"/>
      <c r="BG203" s="88"/>
      <c r="BH203" s="64"/>
      <c r="BI203" s="89"/>
      <c r="BJ203" s="89"/>
      <c r="BK203" s="89"/>
      <c r="BL203" s="89"/>
    </row>
    <row r="204" spans="1:64" ht="23.25" customHeight="1">
      <c r="A204" s="62">
        <v>29</v>
      </c>
      <c r="B204" s="63">
        <v>2</v>
      </c>
      <c r="C204" s="64">
        <v>31</v>
      </c>
      <c r="D204" s="64">
        <f t="shared" si="3"/>
        <v>2</v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 t="s">
        <v>306</v>
      </c>
      <c r="S204" s="64" t="s">
        <v>300</v>
      </c>
      <c r="T204" s="64" t="s">
        <v>2</v>
      </c>
      <c r="U204" s="64" t="s">
        <v>255</v>
      </c>
      <c r="V204" s="64"/>
      <c r="W204" s="64" t="s">
        <v>1636</v>
      </c>
      <c r="X204" s="64" t="s">
        <v>307</v>
      </c>
      <c r="Y204" s="64" t="s">
        <v>127</v>
      </c>
      <c r="Z204" s="65" t="s">
        <v>359</v>
      </c>
      <c r="AA204" s="64" t="s">
        <v>302</v>
      </c>
      <c r="AB204" s="64" t="s">
        <v>303</v>
      </c>
      <c r="AC204" s="64" t="s">
        <v>1565</v>
      </c>
      <c r="AD204" s="64" t="s">
        <v>1565</v>
      </c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 t="s">
        <v>308</v>
      </c>
      <c r="AP204" s="64" t="s">
        <v>33</v>
      </c>
      <c r="AQ204" s="64" t="s">
        <v>25</v>
      </c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</row>
    <row r="205" spans="1:64" ht="23.25" customHeight="1">
      <c r="A205" s="62">
        <v>19</v>
      </c>
      <c r="B205" s="63">
        <v>3</v>
      </c>
      <c r="C205" s="64">
        <v>32</v>
      </c>
      <c r="D205" s="64">
        <f t="shared" si="3"/>
        <v>3</v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 t="s">
        <v>238</v>
      </c>
      <c r="S205" s="64" t="s">
        <v>239</v>
      </c>
      <c r="T205" s="64" t="s">
        <v>2</v>
      </c>
      <c r="U205" s="64" t="s">
        <v>152</v>
      </c>
      <c r="V205" s="64"/>
      <c r="W205" s="64" t="s">
        <v>1637</v>
      </c>
      <c r="X205" s="64" t="s">
        <v>240</v>
      </c>
      <c r="Y205" s="64" t="s">
        <v>241</v>
      </c>
      <c r="Z205" s="65" t="s">
        <v>242</v>
      </c>
      <c r="AA205" s="64" t="s">
        <v>243</v>
      </c>
      <c r="AB205" s="64" t="s">
        <v>244</v>
      </c>
      <c r="AC205" s="64" t="s">
        <v>1638</v>
      </c>
      <c r="AD205" s="64" t="s">
        <v>1639</v>
      </c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 t="s">
        <v>245</v>
      </c>
      <c r="AP205" s="64" t="s">
        <v>246</v>
      </c>
      <c r="AQ205" s="64" t="s">
        <v>246</v>
      </c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</row>
    <row r="206" spans="1:64" ht="23.25" customHeight="1">
      <c r="A206" s="62">
        <v>20</v>
      </c>
      <c r="B206" s="63">
        <v>4</v>
      </c>
      <c r="C206" s="64">
        <v>33</v>
      </c>
      <c r="D206" s="64">
        <f t="shared" si="3"/>
        <v>4</v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 t="s">
        <v>247</v>
      </c>
      <c r="S206" s="64" t="s">
        <v>239</v>
      </c>
      <c r="T206" s="64" t="s">
        <v>2</v>
      </c>
      <c r="U206" s="64" t="s">
        <v>152</v>
      </c>
      <c r="V206" s="64"/>
      <c r="W206" s="64" t="s">
        <v>1637</v>
      </c>
      <c r="X206" s="64" t="s">
        <v>248</v>
      </c>
      <c r="Y206" s="64" t="s">
        <v>249</v>
      </c>
      <c r="Z206" s="65" t="s">
        <v>242</v>
      </c>
      <c r="AA206" s="64" t="s">
        <v>243</v>
      </c>
      <c r="AB206" s="64" t="s">
        <v>244</v>
      </c>
      <c r="AC206" s="64" t="s">
        <v>1638</v>
      </c>
      <c r="AD206" s="64" t="s">
        <v>1639</v>
      </c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 t="s">
        <v>250</v>
      </c>
      <c r="AP206" s="64" t="s">
        <v>955</v>
      </c>
      <c r="AQ206" s="64" t="s">
        <v>246</v>
      </c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</row>
    <row r="207" spans="1:64" ht="23.25" customHeight="1">
      <c r="A207" s="62">
        <v>8</v>
      </c>
      <c r="B207" s="63">
        <v>5</v>
      </c>
      <c r="C207" s="64">
        <v>34</v>
      </c>
      <c r="D207" s="64">
        <f t="shared" si="3"/>
        <v>5</v>
      </c>
      <c r="E207" s="64"/>
      <c r="F207" s="64"/>
      <c r="G207" s="64"/>
      <c r="H207" s="64"/>
      <c r="I207" s="76"/>
      <c r="J207" s="64"/>
      <c r="K207" s="27"/>
      <c r="L207" s="64"/>
      <c r="M207" s="64"/>
      <c r="N207" s="64"/>
      <c r="O207" s="64"/>
      <c r="P207" s="27"/>
      <c r="Q207" s="64"/>
      <c r="R207" s="64" t="s">
        <v>125</v>
      </c>
      <c r="S207" s="64" t="s">
        <v>126</v>
      </c>
      <c r="T207" s="64" t="s">
        <v>2</v>
      </c>
      <c r="U207" s="64" t="s">
        <v>24</v>
      </c>
      <c r="V207" s="64"/>
      <c r="W207" s="77" t="s">
        <v>1640</v>
      </c>
      <c r="X207" s="78">
        <v>12211</v>
      </c>
      <c r="Y207" s="64" t="s">
        <v>127</v>
      </c>
      <c r="Z207" s="65" t="s">
        <v>122</v>
      </c>
      <c r="AA207" s="64" t="s">
        <v>128</v>
      </c>
      <c r="AB207" s="64" t="s">
        <v>129</v>
      </c>
      <c r="AC207" s="64" t="s">
        <v>1482</v>
      </c>
      <c r="AD207" s="64" t="s">
        <v>1482</v>
      </c>
      <c r="AE207" s="64"/>
      <c r="AF207" s="64"/>
      <c r="AG207" s="79" t="str">
        <f>HYPERLINK("https://drive.google.com/open?id=1P2riPLca_RJTUNjxBRWXcu3jlBsKFh2x","platba Klubovka 2021.pdf")</f>
        <v>platba Klubovka 2021.pdf</v>
      </c>
      <c r="AH207" s="64"/>
      <c r="AI207" s="64"/>
      <c r="AJ207" s="79" t="str">
        <f>HYPERLINK("https://drive.google.com/open?id=1dVsVR21lzcL5CVhbGpSLqNNd8Vgoh4vD","Daffi pp1.JPG")</f>
        <v>Daffi pp1.JPG</v>
      </c>
      <c r="AK207" s="79" t="str">
        <f>HYPERLINK("https://drive.google.com/open?id=1_eSQGto9Euq9RYKv5-RwJ8vjH0f23xU8","Daffi pp2.JPG")</f>
        <v>Daffi pp2.JPG</v>
      </c>
      <c r="AL207" s="64"/>
      <c r="AM207" s="64" t="s">
        <v>4</v>
      </c>
      <c r="AN207" s="64"/>
      <c r="AO207" s="64" t="s">
        <v>1641</v>
      </c>
      <c r="AP207" s="64" t="s">
        <v>33</v>
      </c>
      <c r="AQ207" s="64" t="s">
        <v>25</v>
      </c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</row>
    <row r="208" spans="1:64" ht="23.25" customHeight="1">
      <c r="A208" s="42">
        <v>112</v>
      </c>
      <c r="B208" s="63">
        <v>6</v>
      </c>
      <c r="C208" s="64">
        <v>35</v>
      </c>
      <c r="D208" s="48">
        <f t="shared" si="3"/>
        <v>6</v>
      </c>
      <c r="E208" s="44"/>
      <c r="F208" s="44"/>
      <c r="G208" s="44"/>
      <c r="H208" s="44"/>
      <c r="I208" s="44"/>
      <c r="J208" s="45"/>
      <c r="K208" s="44"/>
      <c r="L208" s="44"/>
      <c r="M208" s="44"/>
      <c r="N208" s="44"/>
      <c r="O208" s="44"/>
      <c r="P208" s="44"/>
      <c r="Q208" s="45"/>
      <c r="R208" s="44" t="s">
        <v>868</v>
      </c>
      <c r="S208" s="44" t="s">
        <v>861</v>
      </c>
      <c r="T208" s="44" t="s">
        <v>2</v>
      </c>
      <c r="U208" s="44" t="s">
        <v>255</v>
      </c>
      <c r="V208" s="45"/>
      <c r="W208" s="44" t="s">
        <v>1642</v>
      </c>
      <c r="X208" s="44">
        <v>49811</v>
      </c>
      <c r="Y208" s="44" t="s">
        <v>127</v>
      </c>
      <c r="Z208" s="46" t="s">
        <v>869</v>
      </c>
      <c r="AA208" s="44" t="s">
        <v>837</v>
      </c>
      <c r="AB208" s="44" t="s">
        <v>870</v>
      </c>
      <c r="AC208" s="44" t="s">
        <v>1544</v>
      </c>
      <c r="AD208" s="44" t="s">
        <v>1545</v>
      </c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4" t="s">
        <v>871</v>
      </c>
      <c r="AP208" s="44" t="s">
        <v>25</v>
      </c>
      <c r="AQ208" s="44" t="s">
        <v>25</v>
      </c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</row>
    <row r="209" spans="1:64" ht="23.25" customHeight="1">
      <c r="A209" s="42">
        <v>118</v>
      </c>
      <c r="B209" s="63">
        <v>7</v>
      </c>
      <c r="C209" s="64">
        <v>36</v>
      </c>
      <c r="D209" s="48">
        <f t="shared" si="3"/>
        <v>7</v>
      </c>
      <c r="E209" s="44"/>
      <c r="F209" s="44"/>
      <c r="G209" s="44"/>
      <c r="H209" s="44"/>
      <c r="I209" s="44"/>
      <c r="J209" s="45"/>
      <c r="K209" s="44"/>
      <c r="L209" s="44"/>
      <c r="M209" s="44"/>
      <c r="N209" s="44"/>
      <c r="O209" s="44"/>
      <c r="P209" s="44"/>
      <c r="Q209" s="45"/>
      <c r="R209" s="44" t="s">
        <v>925</v>
      </c>
      <c r="S209" s="44" t="s">
        <v>926</v>
      </c>
      <c r="T209" s="44" t="s">
        <v>2</v>
      </c>
      <c r="U209" s="44" t="s">
        <v>255</v>
      </c>
      <c r="V209" s="45"/>
      <c r="W209" s="44" t="s">
        <v>1643</v>
      </c>
      <c r="X209" s="44" t="s">
        <v>927</v>
      </c>
      <c r="Y209" s="44" t="s">
        <v>127</v>
      </c>
      <c r="Z209" s="46" t="s">
        <v>122</v>
      </c>
      <c r="AA209" s="44" t="s">
        <v>928</v>
      </c>
      <c r="AB209" s="44" t="s">
        <v>487</v>
      </c>
      <c r="AC209" s="44" t="s">
        <v>1644</v>
      </c>
      <c r="AD209" s="44" t="s">
        <v>1644</v>
      </c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4" t="s">
        <v>929</v>
      </c>
      <c r="AP209" s="44" t="s">
        <v>33</v>
      </c>
      <c r="AQ209" s="44" t="s">
        <v>25</v>
      </c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</row>
    <row r="210" spans="1:64" ht="23.25" customHeight="1">
      <c r="A210" s="69">
        <v>47</v>
      </c>
      <c r="B210" s="63">
        <v>8</v>
      </c>
      <c r="C210" s="64">
        <v>37</v>
      </c>
      <c r="D210" s="33">
        <f t="shared" si="3"/>
        <v>8</v>
      </c>
      <c r="E210" s="56"/>
      <c r="F210" s="56"/>
      <c r="G210" s="56"/>
      <c r="H210" s="56"/>
      <c r="I210" s="59"/>
      <c r="J210" s="104"/>
      <c r="K210" s="56"/>
      <c r="L210" s="56"/>
      <c r="M210" s="56"/>
      <c r="N210" s="56"/>
      <c r="O210" s="104"/>
      <c r="P210" s="56"/>
      <c r="Q210" s="104"/>
      <c r="R210" s="56" t="s">
        <v>439</v>
      </c>
      <c r="S210" s="56" t="s">
        <v>433</v>
      </c>
      <c r="T210" s="56" t="s">
        <v>2</v>
      </c>
      <c r="U210" s="56" t="s">
        <v>255</v>
      </c>
      <c r="V210" s="104"/>
      <c r="W210" s="56" t="s">
        <v>1645</v>
      </c>
      <c r="X210" s="56" t="s">
        <v>440</v>
      </c>
      <c r="Y210" s="56" t="s">
        <v>441</v>
      </c>
      <c r="Z210" s="59" t="s">
        <v>436</v>
      </c>
      <c r="AA210" s="56" t="s">
        <v>442</v>
      </c>
      <c r="AB210" s="56" t="s">
        <v>438</v>
      </c>
      <c r="AC210" s="56" t="s">
        <v>1437</v>
      </c>
      <c r="AD210" s="56" t="s">
        <v>1437</v>
      </c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56" t="s">
        <v>1646</v>
      </c>
      <c r="AP210" s="56" t="s">
        <v>246</v>
      </c>
      <c r="AQ210" s="56" t="s">
        <v>246</v>
      </c>
      <c r="AR210" s="104"/>
      <c r="AS210" s="104"/>
      <c r="AT210" s="104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6"/>
      <c r="BI210" s="56"/>
      <c r="BJ210" s="56"/>
      <c r="BK210" s="56"/>
      <c r="BL210" s="56"/>
    </row>
    <row r="211" spans="1:64" ht="23.25" customHeight="1">
      <c r="A211" s="42">
        <v>119</v>
      </c>
      <c r="B211" s="63">
        <v>9</v>
      </c>
      <c r="C211" s="64">
        <v>38</v>
      </c>
      <c r="D211" s="48">
        <f t="shared" si="3"/>
        <v>9</v>
      </c>
      <c r="E211" s="44"/>
      <c r="F211" s="44"/>
      <c r="G211" s="44"/>
      <c r="H211" s="44"/>
      <c r="I211" s="44"/>
      <c r="J211" s="45"/>
      <c r="K211" s="44"/>
      <c r="L211" s="44"/>
      <c r="M211" s="44"/>
      <c r="N211" s="44"/>
      <c r="O211" s="44"/>
      <c r="P211" s="44"/>
      <c r="Q211" s="45"/>
      <c r="R211" s="44" t="s">
        <v>934</v>
      </c>
      <c r="S211" s="44" t="s">
        <v>935</v>
      </c>
      <c r="T211" s="44" t="s">
        <v>2</v>
      </c>
      <c r="U211" s="44" t="s">
        <v>255</v>
      </c>
      <c r="V211" s="45"/>
      <c r="W211" s="44" t="s">
        <v>1647</v>
      </c>
      <c r="X211" s="44">
        <v>981189900103143</v>
      </c>
      <c r="Y211" s="44" t="s">
        <v>936</v>
      </c>
      <c r="Z211" s="46" t="s">
        <v>359</v>
      </c>
      <c r="AA211" s="44" t="s">
        <v>937</v>
      </c>
      <c r="AB211" s="44" t="s">
        <v>938</v>
      </c>
      <c r="AC211" s="44" t="s">
        <v>939</v>
      </c>
      <c r="AD211" s="44" t="s">
        <v>1441</v>
      </c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4" t="s">
        <v>940</v>
      </c>
      <c r="AP211" s="44" t="s">
        <v>246</v>
      </c>
      <c r="AQ211" s="44" t="s">
        <v>246</v>
      </c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</row>
    <row r="212" spans="1:64" ht="23.25" customHeight="1">
      <c r="A212" s="42">
        <v>117</v>
      </c>
      <c r="B212" s="63">
        <v>10</v>
      </c>
      <c r="C212" s="64">
        <v>39</v>
      </c>
      <c r="D212" s="48">
        <f t="shared" si="3"/>
        <v>10</v>
      </c>
      <c r="E212" s="44"/>
      <c r="F212" s="44"/>
      <c r="G212" s="44"/>
      <c r="H212" s="44"/>
      <c r="I212" s="125"/>
      <c r="J212" s="45"/>
      <c r="K212" s="44"/>
      <c r="L212" s="44"/>
      <c r="M212" s="44"/>
      <c r="N212" s="44"/>
      <c r="O212" s="44"/>
      <c r="P212" s="44"/>
      <c r="Q212" s="45"/>
      <c r="R212" s="44" t="s">
        <v>916</v>
      </c>
      <c r="S212" s="44" t="s">
        <v>917</v>
      </c>
      <c r="T212" s="44" t="s">
        <v>2</v>
      </c>
      <c r="U212" s="44" t="s">
        <v>24</v>
      </c>
      <c r="V212" s="44"/>
      <c r="W212" s="44" t="s">
        <v>1648</v>
      </c>
      <c r="X212" s="44" t="s">
        <v>918</v>
      </c>
      <c r="Y212" s="44" t="s">
        <v>919</v>
      </c>
      <c r="Z212" s="46" t="s">
        <v>359</v>
      </c>
      <c r="AA212" s="44" t="s">
        <v>920</v>
      </c>
      <c r="AB212" s="44" t="s">
        <v>853</v>
      </c>
      <c r="AC212" s="44" t="s">
        <v>1649</v>
      </c>
      <c r="AD212" s="44" t="s">
        <v>1649</v>
      </c>
      <c r="AE212" s="45"/>
      <c r="AF212" s="45"/>
      <c r="AG212" s="68" t="str">
        <f>HYPERLINK("https://drive.google.com/open?id=1U8FfYQgtRrL5HGkpr4oBdr2vNg2WX3ap","D2121EA1-87D0-43FF-9E5D-F4A8F724A7C9.png")</f>
        <v>D2121EA1-87D0-43FF-9E5D-F4A8F724A7C9.png</v>
      </c>
      <c r="AH212" s="68" t="str">
        <f>HYPERLINK("https://drive.google.com/open?id=15b2KSnngvPhfbpomgU1CarKemxg_h8JF","image.jpg")</f>
        <v>image.jpg</v>
      </c>
      <c r="AI212" s="68" t="str">
        <f>HYPERLINK("https://drive.google.com/open?id=1KYxDt68mGWJ64OPptUmg0weAzrQR1RO2","70815611-1E51-46F6-8FE8-AA2F949C9722.jpeg")</f>
        <v>70815611-1E51-46F6-8FE8-AA2F949C9722.jpeg</v>
      </c>
      <c r="AJ212" s="68" t="str">
        <f>HYPERLINK("https://drive.google.com/open?id=1ObqHNLRhJzKuLpdzp6INjuJA9tHz_7Mo","B0551C0E-AD03-4726-9AE9-EB39CDEF8E8D.jpeg")</f>
        <v>B0551C0E-AD03-4726-9AE9-EB39CDEF8E8D.jpeg</v>
      </c>
      <c r="AK212" s="68" t="str">
        <f>HYPERLINK("https://drive.google.com/open?id=13-0IIkXbDsWSjGw1_vSY7iAMQEWQhvuS","D816D682-E368-4BB5-8402-ADA17CB9D65D.jpeg")</f>
        <v>D816D682-E368-4BB5-8402-ADA17CB9D65D.jpeg</v>
      </c>
      <c r="AL212" s="68" t="str">
        <f>HYPERLINK("https://drive.google.com/open?id=12UQI9jfZWBet5_MZBxRxUvdcCx_KThdR","7B3C79C3-7283-4890-B177-001F93477ED7.jpeg")</f>
        <v>7B3C79C3-7283-4890-B177-001F93477ED7.jpeg</v>
      </c>
      <c r="AM212" s="44" t="s">
        <v>4</v>
      </c>
      <c r="AN212" s="45"/>
      <c r="AO212" s="44" t="s">
        <v>921</v>
      </c>
      <c r="AP212" s="44" t="s">
        <v>40</v>
      </c>
      <c r="AQ212" s="44" t="s">
        <v>25</v>
      </c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</row>
    <row r="213" spans="1:64" ht="23.25" customHeight="1">
      <c r="A213" s="38">
        <v>24</v>
      </c>
      <c r="B213" s="63">
        <v>11</v>
      </c>
      <c r="C213" s="64">
        <v>40</v>
      </c>
      <c r="D213" s="64">
        <f t="shared" si="3"/>
        <v>11</v>
      </c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 t="s">
        <v>265</v>
      </c>
      <c r="S213" s="40" t="s">
        <v>266</v>
      </c>
      <c r="T213" s="40" t="s">
        <v>2</v>
      </c>
      <c r="U213" s="40" t="s">
        <v>255</v>
      </c>
      <c r="V213" s="40"/>
      <c r="W213" s="40" t="s">
        <v>1650</v>
      </c>
      <c r="X213" s="40" t="s">
        <v>267</v>
      </c>
      <c r="Y213" s="40" t="s">
        <v>127</v>
      </c>
      <c r="Z213" s="41" t="s">
        <v>122</v>
      </c>
      <c r="AA213" s="40" t="s">
        <v>268</v>
      </c>
      <c r="AB213" s="40" t="s">
        <v>269</v>
      </c>
      <c r="AC213" s="40" t="s">
        <v>1446</v>
      </c>
      <c r="AD213" s="40" t="s">
        <v>1412</v>
      </c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 t="s">
        <v>270</v>
      </c>
      <c r="AP213" s="40" t="s">
        <v>271</v>
      </c>
      <c r="AQ213" s="40" t="s">
        <v>25</v>
      </c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</row>
    <row r="214" spans="1:64" ht="23.25" customHeight="1">
      <c r="A214" s="42">
        <v>147</v>
      </c>
      <c r="B214" s="63">
        <v>12</v>
      </c>
      <c r="C214" s="64">
        <v>41</v>
      </c>
      <c r="D214" s="48">
        <f t="shared" si="3"/>
        <v>12</v>
      </c>
      <c r="E214" s="44"/>
      <c r="F214" s="44"/>
      <c r="G214" s="44"/>
      <c r="H214" s="44"/>
      <c r="I214" s="125"/>
      <c r="J214" s="45"/>
      <c r="K214" s="44"/>
      <c r="L214" s="44"/>
      <c r="M214" s="44"/>
      <c r="N214" s="44"/>
      <c r="O214" s="44"/>
      <c r="P214" s="44"/>
      <c r="Q214" s="45"/>
      <c r="R214" s="44" t="s">
        <v>1126</v>
      </c>
      <c r="S214" s="44" t="s">
        <v>1073</v>
      </c>
      <c r="T214" s="44" t="s">
        <v>2</v>
      </c>
      <c r="U214" s="44" t="s">
        <v>24</v>
      </c>
      <c r="V214" s="45"/>
      <c r="W214" s="44" t="s">
        <v>1651</v>
      </c>
      <c r="X214" s="44">
        <v>23068</v>
      </c>
      <c r="Y214" s="44" t="s">
        <v>1127</v>
      </c>
      <c r="Z214" s="46" t="s">
        <v>1128</v>
      </c>
      <c r="AA214" s="44" t="s">
        <v>1129</v>
      </c>
      <c r="AB214" s="44" t="s">
        <v>995</v>
      </c>
      <c r="AC214" s="44" t="s">
        <v>1173</v>
      </c>
      <c r="AD214" s="44" t="s">
        <v>1173</v>
      </c>
      <c r="AE214" s="45"/>
      <c r="AF214" s="45"/>
      <c r="AG214" s="68" t="str">
        <f>HYPERLINK("https://drive.google.com/open?id=1ZqFwy1FOCfPNZ5MPzwSTIvQihUWJKRNc","iris.pdf")</f>
        <v>iris.pdf</v>
      </c>
      <c r="AH214" s="68" t="str">
        <f>HYPERLINK("https://drive.google.com/open?id=1ZfuYBKNYUT5qU707c8j5nmkc_oyRuyZW","výkonn ir.jpg")</f>
        <v>výkonn ir.jpg</v>
      </c>
      <c r="AI214" s="45"/>
      <c r="AJ214" s="68" t="str">
        <f>HYPERLINK("https://drive.google.com/open?id=19NJ3dILNt3Z2115Ix5pu_A7qrAjf3isR","Ir2.jpg")</f>
        <v>Ir2.jpg</v>
      </c>
      <c r="AK214" s="68" t="str">
        <f>HYPERLINK("https://drive.google.com/open?id=1LoJC662aDEJ-7Dky6ewf7l3XY0SSdi21","ir1.jpg")</f>
        <v>ir1.jpg</v>
      </c>
      <c r="AL214" s="68" t="str">
        <f>HYPERLINK("https://drive.google.com/open?id=1ufgJ3H-43ctKaMTvvJuN0k10C0FPMlE4","Ir 3.jpg")</f>
        <v>Ir 3.jpg</v>
      </c>
      <c r="AM214" s="44" t="s">
        <v>4</v>
      </c>
      <c r="AN214" s="45"/>
      <c r="AO214" s="44" t="s">
        <v>1130</v>
      </c>
      <c r="AP214" s="44" t="s">
        <v>271</v>
      </c>
      <c r="AQ214" s="44" t="s">
        <v>25</v>
      </c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</row>
    <row r="215" spans="1:64" ht="23.25" customHeight="1">
      <c r="A215" s="42">
        <v>140</v>
      </c>
      <c r="B215" s="63">
        <v>13</v>
      </c>
      <c r="C215" s="64">
        <v>42</v>
      </c>
      <c r="D215" s="48">
        <f t="shared" si="3"/>
        <v>13</v>
      </c>
      <c r="E215" s="44"/>
      <c r="F215" s="44"/>
      <c r="G215" s="44"/>
      <c r="H215" s="44"/>
      <c r="I215" s="44"/>
      <c r="J215" s="45"/>
      <c r="K215" s="44"/>
      <c r="L215" s="44"/>
      <c r="M215" s="44"/>
      <c r="N215" s="44"/>
      <c r="O215" s="44"/>
      <c r="P215" s="44"/>
      <c r="Q215" s="45"/>
      <c r="R215" s="44" t="s">
        <v>1652</v>
      </c>
      <c r="S215" s="44" t="s">
        <v>1653</v>
      </c>
      <c r="T215" s="44" t="s">
        <v>2</v>
      </c>
      <c r="U215" s="44" t="s">
        <v>24</v>
      </c>
      <c r="V215" s="45"/>
      <c r="W215" s="44" t="s">
        <v>1654</v>
      </c>
      <c r="X215" s="44">
        <v>900032001884282</v>
      </c>
      <c r="Y215" s="44" t="s">
        <v>1084</v>
      </c>
      <c r="Z215" s="46" t="s">
        <v>1085</v>
      </c>
      <c r="AA215" s="44" t="s">
        <v>1098</v>
      </c>
      <c r="AB215" s="44" t="s">
        <v>1099</v>
      </c>
      <c r="AC215" s="44" t="s">
        <v>1655</v>
      </c>
      <c r="AD215" s="44" t="s">
        <v>1625</v>
      </c>
      <c r="AE215" s="45"/>
      <c r="AF215" s="68" t="str">
        <f>HYPERLINK("https://drive.google.com/open?id=15OiCDvcvCUas5YqV4NVmcL9Wp5BiHAmA","Martina Trnková.jpg")</f>
        <v>Martina Trnková.jpg</v>
      </c>
      <c r="AG215" s="68" t="str">
        <f>HYPERLINK("https://drive.google.com/open?id=12JygelqoN2PAaid4mdF_XSnMgP-pSegv","Potvrzeni_platby (2).PDF")</f>
        <v>Potvrzeni_platby (2).PDF</v>
      </c>
      <c r="AH215" s="68" t="str">
        <f>HYPERLINK("https://drive.google.com/open?id=1cAqbT6wXS7wUic60WRnu5Nh5nlALs9Nu","KARA VK PŘED STR.pdf")</f>
        <v>KARA VK PŘED STR.pdf</v>
      </c>
      <c r="AI215" s="45"/>
      <c r="AJ215" s="68" t="str">
        <f>HYPERLINK("https://drive.google.com/open?id=1rpDVdw4jWfkXI0lbVXqXvOfNbjttn9tV","kareah pp4.jpg")</f>
        <v>kareah pp4.jpg</v>
      </c>
      <c r="AK215" s="68" t="str">
        <f>HYPERLINK("https://drive.google.com/open?id=1dFCv7nhgc2fSUY8_u9JckKB19xC1gpbp","kareah pp2.jpg")</f>
        <v>kareah pp2.jpg</v>
      </c>
      <c r="AL215" s="68" t="str">
        <f>HYPERLINK("https://drive.google.com/open?id=1_dRFXKvo6U4ekepZVj8_P0kxn995eSDt","kareah pp 3.jpg")</f>
        <v>kareah pp 3.jpg</v>
      </c>
      <c r="AM215" s="44" t="s">
        <v>4</v>
      </c>
      <c r="AN215" s="45"/>
      <c r="AO215" s="44" t="s">
        <v>1100</v>
      </c>
      <c r="AP215" s="44" t="s">
        <v>112</v>
      </c>
      <c r="AQ215" s="44" t="s">
        <v>25</v>
      </c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</row>
    <row r="216" spans="1:64" ht="23.25" customHeight="1">
      <c r="A216" s="42">
        <v>78</v>
      </c>
      <c r="B216" s="63">
        <v>14</v>
      </c>
      <c r="C216" s="64">
        <v>43</v>
      </c>
      <c r="D216" s="33">
        <f t="shared" si="3"/>
        <v>14</v>
      </c>
      <c r="E216" s="56"/>
      <c r="F216" s="56"/>
      <c r="G216" s="56"/>
      <c r="H216" s="56"/>
      <c r="I216" s="56"/>
      <c r="J216" s="104"/>
      <c r="K216" s="56"/>
      <c r="L216" s="56"/>
      <c r="M216" s="56"/>
      <c r="N216" s="56"/>
      <c r="O216" s="56"/>
      <c r="P216" s="56"/>
      <c r="Q216" s="104"/>
      <c r="R216" s="56" t="s">
        <v>671</v>
      </c>
      <c r="S216" s="56" t="s">
        <v>266</v>
      </c>
      <c r="T216" s="56" t="s">
        <v>2</v>
      </c>
      <c r="U216" s="56" t="s">
        <v>255</v>
      </c>
      <c r="V216" s="104"/>
      <c r="W216" s="56" t="s">
        <v>1656</v>
      </c>
      <c r="X216" s="56">
        <v>900079000376215</v>
      </c>
      <c r="Y216" s="56" t="s">
        <v>127</v>
      </c>
      <c r="Z216" s="59" t="s">
        <v>122</v>
      </c>
      <c r="AA216" s="56" t="s">
        <v>275</v>
      </c>
      <c r="AB216" s="56" t="s">
        <v>672</v>
      </c>
      <c r="AC216" s="56" t="s">
        <v>1446</v>
      </c>
      <c r="AD216" s="56" t="s">
        <v>759</v>
      </c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56" t="s">
        <v>673</v>
      </c>
      <c r="AP216" s="56" t="s">
        <v>33</v>
      </c>
      <c r="AQ216" s="56" t="s">
        <v>25</v>
      </c>
      <c r="AR216" s="104"/>
      <c r="AS216" s="104"/>
      <c r="AT216" s="104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6"/>
      <c r="BI216" s="61"/>
      <c r="BJ216" s="61"/>
      <c r="BK216" s="61"/>
      <c r="BL216" s="61"/>
    </row>
    <row r="217" spans="1:64" ht="23.25" customHeight="1">
      <c r="A217" s="47">
        <v>34</v>
      </c>
      <c r="B217" s="63">
        <v>15</v>
      </c>
      <c r="C217" s="64">
        <v>44</v>
      </c>
      <c r="D217" s="64">
        <f t="shared" si="3"/>
        <v>15</v>
      </c>
      <c r="E217" s="40"/>
      <c r="F217" s="40"/>
      <c r="G217" s="40"/>
      <c r="H217" s="40"/>
      <c r="I217" s="91"/>
      <c r="J217" s="80"/>
      <c r="K217" s="40"/>
      <c r="L217" s="40"/>
      <c r="M217" s="40"/>
      <c r="N217" s="40"/>
      <c r="O217" s="40"/>
      <c r="P217" s="40"/>
      <c r="Q217" s="80"/>
      <c r="R217" s="40" t="s">
        <v>347</v>
      </c>
      <c r="S217" s="40" t="s">
        <v>20</v>
      </c>
      <c r="T217" s="40" t="s">
        <v>2</v>
      </c>
      <c r="U217" s="40" t="s">
        <v>24</v>
      </c>
      <c r="V217" s="80"/>
      <c r="W217" s="40" t="s">
        <v>1657</v>
      </c>
      <c r="X217" s="40" t="s">
        <v>348</v>
      </c>
      <c r="Y217" s="40" t="s">
        <v>349</v>
      </c>
      <c r="Z217" s="41" t="s">
        <v>30</v>
      </c>
      <c r="AA217" s="40" t="s">
        <v>350</v>
      </c>
      <c r="AB217" s="40" t="s">
        <v>351</v>
      </c>
      <c r="AC217" s="40" t="s">
        <v>21</v>
      </c>
      <c r="AD217" s="40" t="s">
        <v>21</v>
      </c>
      <c r="AE217" s="80"/>
      <c r="AF217" s="80"/>
      <c r="AG217" s="82" t="str">
        <f>HYPERLINK("https://drive.google.com/open?id=1WJxxeoK9ikw9EuUxdCE0WrgGXbkX8iuo","Transakce_2000006718234619.pdf")</f>
        <v>Transakce_2000006718234619.pdf</v>
      </c>
      <c r="AH217" s="82" t="str">
        <f>HYPERLINK("https://drive.google.com/open?id=1bIMlcxArUhLp63dyleP73_q8n1eYBXCY","40B5941F-9948-4797-95ED-1FD92E65249B.jpeg")</f>
        <v>40B5941F-9948-4797-95ED-1FD92E65249B.jpeg</v>
      </c>
      <c r="AI217" s="82" t="str">
        <f>HYPERLINK("https://drive.google.com/open?id=1ZOO0TVqV9gCvNPXHJlYCeyP9IC1mx-3a","056E69B1-2BDD-43A2-86DF-687C0F2F6E62.jpeg")</f>
        <v>056E69B1-2BDD-43A2-86DF-687C0F2F6E62.jpeg</v>
      </c>
      <c r="AJ217" s="82" t="str">
        <f>HYPERLINK("https://drive.google.com/open?id=15hE594hfg_qqtDElvRsSEKPI0d9MokNX","25445C46-ED9D-4093-B09E-5FE7063B02F3.jpeg")</f>
        <v>25445C46-ED9D-4093-B09E-5FE7063B02F3.jpeg</v>
      </c>
      <c r="AK217" s="82" t="str">
        <f>HYPERLINK("https://drive.google.com/open?id=1Ujn3fzH6sQwBNvqW41xRSCC55NXIBoWb","78AC1E3A-D0C9-4024-85DD-1DFB6BBD13C9.jpeg")</f>
        <v>78AC1E3A-D0C9-4024-85DD-1DFB6BBD13C9.jpeg</v>
      </c>
      <c r="AL217" s="82" t="str">
        <f>HYPERLINK("https://drive.google.com/open?id=1sO_dfAEilFINb0AozIHWod9sUYyuXdSH","B24BFB2E-9180-44BB-B70C-6C89942C0813.jpeg")</f>
        <v>B24BFB2E-9180-44BB-B70C-6C89942C0813.jpeg</v>
      </c>
      <c r="AM217" s="40" t="s">
        <v>4</v>
      </c>
      <c r="AN217" s="80"/>
      <c r="AO217" s="40" t="s">
        <v>1658</v>
      </c>
      <c r="AP217" s="40" t="s">
        <v>271</v>
      </c>
      <c r="AQ217" s="40" t="s">
        <v>25</v>
      </c>
      <c r="AR217" s="80"/>
      <c r="AS217" s="80"/>
      <c r="AT217" s="80"/>
      <c r="AU217" s="40"/>
      <c r="AV217" s="83"/>
      <c r="AW217" s="83"/>
      <c r="AX217" s="83"/>
      <c r="AY217" s="83"/>
      <c r="AZ217" s="83"/>
      <c r="BA217" s="83"/>
      <c r="BB217" s="83"/>
      <c r="BC217" s="83"/>
      <c r="BD217" s="83"/>
      <c r="BE217" s="83"/>
      <c r="BF217" s="83"/>
      <c r="BG217" s="83"/>
      <c r="BH217" s="40"/>
      <c r="BI217" s="40"/>
      <c r="BJ217" s="40"/>
      <c r="BK217" s="40"/>
      <c r="BL217" s="40"/>
    </row>
    <row r="218" spans="1:64" ht="23.25" customHeight="1">
      <c r="A218" s="177">
        <v>41</v>
      </c>
      <c r="B218" s="63">
        <v>16</v>
      </c>
      <c r="C218" s="64">
        <v>45</v>
      </c>
      <c r="D218" s="64">
        <f t="shared" si="3"/>
        <v>16</v>
      </c>
      <c r="E218" s="40"/>
      <c r="F218" s="40"/>
      <c r="G218" s="40"/>
      <c r="H218" s="40"/>
      <c r="I218" s="40"/>
      <c r="J218" s="80"/>
      <c r="K218" s="40"/>
      <c r="L218" s="40"/>
      <c r="M218" s="40"/>
      <c r="N218" s="40"/>
      <c r="O218" s="40"/>
      <c r="P218" s="40"/>
      <c r="Q218" s="80"/>
      <c r="R218" s="40" t="s">
        <v>394</v>
      </c>
      <c r="S218" s="40" t="s">
        <v>77</v>
      </c>
      <c r="T218" s="40" t="s">
        <v>2</v>
      </c>
      <c r="U218" s="40" t="s">
        <v>24</v>
      </c>
      <c r="V218" s="80"/>
      <c r="W218" s="40" t="s">
        <v>1659</v>
      </c>
      <c r="X218" s="40" t="s">
        <v>395</v>
      </c>
      <c r="Y218" s="40" t="s">
        <v>127</v>
      </c>
      <c r="Z218" s="41" t="s">
        <v>396</v>
      </c>
      <c r="AA218" s="40" t="s">
        <v>397</v>
      </c>
      <c r="AB218" s="40" t="s">
        <v>398</v>
      </c>
      <c r="AC218" s="40" t="s">
        <v>1463</v>
      </c>
      <c r="AD218" s="40" t="s">
        <v>1463</v>
      </c>
      <c r="AE218" s="80"/>
      <c r="AF218" s="80"/>
      <c r="AG218" s="82" t="str">
        <f>HYPERLINK("https://drive.google.com/open?id=1f81a6AdOMLhwt5l_jB5wo-lQnTQxff42","Platba.jpg")</f>
        <v>Platba.jpg</v>
      </c>
      <c r="AH218" s="82" t="str">
        <f>HYPERLINK("https://drive.google.com/open?id=1u_LwILX9sxgE1RctcOVL0bUDCUVluPSG","Megie výkonostka.jpg")</f>
        <v>Megie výkonostka.jpg</v>
      </c>
      <c r="AI218" s="82" t="str">
        <f>HYPERLINK("https://drive.google.com/open?id=1YC9_2qhhexQ-wXoeldNgvC6kIKUEjKpu","Megie výkonostka 1.jpg")</f>
        <v>Megie výkonostka 1.jpg</v>
      </c>
      <c r="AJ218" s="82" t="str">
        <f>HYPERLINK("https://drive.google.com/open?id=1cmcBkumTGGG_7ARHtd7euaYaiWZVLa_F","Megie rodokmen.jpg")</f>
        <v>Megie rodokmen.jpg</v>
      </c>
      <c r="AK218" s="82" t="str">
        <f>HYPERLINK("https://drive.google.com/open?id=1M4io3X7AHA_N_l7VQnBYdMzJIIgRyiH9","Megie rodokmen 1.jpg")</f>
        <v>Megie rodokmen 1.jpg</v>
      </c>
      <c r="AL218" s="80"/>
      <c r="AM218" s="40" t="s">
        <v>4</v>
      </c>
      <c r="AN218" s="80"/>
      <c r="AO218" s="40" t="s">
        <v>399</v>
      </c>
      <c r="AP218" s="40" t="s">
        <v>25</v>
      </c>
      <c r="AQ218" s="40" t="s">
        <v>25</v>
      </c>
      <c r="AR218" s="80"/>
      <c r="AS218" s="80"/>
      <c r="AT218" s="80"/>
      <c r="AU218" s="40"/>
      <c r="AV218" s="83"/>
      <c r="AW218" s="83"/>
      <c r="AX218" s="83"/>
      <c r="AY218" s="83"/>
      <c r="AZ218" s="83"/>
      <c r="BA218" s="83"/>
      <c r="BB218" s="83"/>
      <c r="BC218" s="83"/>
      <c r="BD218" s="83"/>
      <c r="BE218" s="83"/>
      <c r="BF218" s="83"/>
      <c r="BG218" s="83"/>
      <c r="BH218" s="40"/>
      <c r="BI218" s="40"/>
      <c r="BJ218" s="40"/>
      <c r="BK218" s="40"/>
      <c r="BL218" s="40"/>
    </row>
    <row r="219" spans="1:64" ht="23.25" customHeight="1">
      <c r="A219" s="178">
        <v>42</v>
      </c>
      <c r="B219" s="63">
        <v>17</v>
      </c>
      <c r="C219" s="64">
        <v>46</v>
      </c>
      <c r="D219" s="64">
        <f t="shared" si="3"/>
        <v>17</v>
      </c>
      <c r="E219" s="40"/>
      <c r="F219" s="40"/>
      <c r="G219" s="40"/>
      <c r="H219" s="40"/>
      <c r="I219" s="40"/>
      <c r="J219" s="80"/>
      <c r="K219" s="40"/>
      <c r="L219" s="40"/>
      <c r="M219" s="40"/>
      <c r="N219" s="40"/>
      <c r="O219" s="40"/>
      <c r="P219" s="40"/>
      <c r="Q219" s="80"/>
      <c r="R219" s="40" t="s">
        <v>400</v>
      </c>
      <c r="S219" s="40" t="s">
        <v>401</v>
      </c>
      <c r="T219" s="40" t="s">
        <v>2</v>
      </c>
      <c r="U219" s="40" t="s">
        <v>24</v>
      </c>
      <c r="V219" s="80"/>
      <c r="W219" s="40" t="s">
        <v>1660</v>
      </c>
      <c r="X219" s="40">
        <v>941000021053274</v>
      </c>
      <c r="Y219" s="40" t="s">
        <v>127</v>
      </c>
      <c r="Z219" s="41" t="s">
        <v>402</v>
      </c>
      <c r="AA219" s="40" t="s">
        <v>403</v>
      </c>
      <c r="AB219" s="40" t="s">
        <v>404</v>
      </c>
      <c r="AC219" s="40" t="s">
        <v>1661</v>
      </c>
      <c r="AD219" s="40" t="s">
        <v>1463</v>
      </c>
      <c r="AE219" s="80"/>
      <c r="AF219" s="80"/>
      <c r="AG219" s="82" t="str">
        <f>HYPERLINK("https://drive.google.com/open?id=1pzzeA3JTPJmhDyK6KqoTW7OLsFDEBzeR","Platba.jpg")</f>
        <v>Platba.jpg</v>
      </c>
      <c r="AH219" s="82" t="str">
        <f>HYPERLINK("https://drive.google.com/open?id=13BpSr4VEJo-yFG9fzZoPzBFGKiSOGcKH","Molly výkonostka.jpg")</f>
        <v>Molly výkonostka.jpg</v>
      </c>
      <c r="AI219" s="82" t="str">
        <f>HYPERLINK("https://drive.google.com/open?id=1joc5DTzxjVWB8nT8Xp9MIvytPWGTusmT","Molly zkouška.jpg")</f>
        <v>Molly zkouška.jpg</v>
      </c>
      <c r="AJ219" s="82" t="str">
        <f>HYPERLINK("https://drive.google.com/open?id=1P_Polax4_dZ11X53fF87Qj0qtJXGxr6Z","Molly rodokmen.jpg")</f>
        <v>Molly rodokmen.jpg</v>
      </c>
      <c r="AK219" s="82" t="str">
        <f>HYPERLINK("https://drive.google.com/open?id=1tL8eug9pHEehipHBlD1WSbwmodhakRwu","Molly rodokmen 1.jpg")</f>
        <v>Molly rodokmen 1.jpg</v>
      </c>
      <c r="AL219" s="82" t="str">
        <f>HYPERLINK("https://drive.google.com/open?id=1asVHq26Q2TaM5PKt98_N4ivoBrXLTOem","Molly rodokmen 2.jpg")</f>
        <v>Molly rodokmen 2.jpg</v>
      </c>
      <c r="AM219" s="40" t="s">
        <v>4</v>
      </c>
      <c r="AN219" s="80"/>
      <c r="AO219" s="40" t="s">
        <v>405</v>
      </c>
      <c r="AP219" s="40" t="s">
        <v>25</v>
      </c>
      <c r="AQ219" s="40" t="s">
        <v>25</v>
      </c>
      <c r="AR219" s="80"/>
      <c r="AS219" s="80"/>
      <c r="AT219" s="80"/>
      <c r="AU219" s="40"/>
      <c r="AV219" s="83"/>
      <c r="AW219" s="83"/>
      <c r="AX219" s="83"/>
      <c r="AY219" s="83"/>
      <c r="AZ219" s="83"/>
      <c r="BA219" s="83"/>
      <c r="BB219" s="83"/>
      <c r="BC219" s="83"/>
      <c r="BD219" s="83"/>
      <c r="BE219" s="83"/>
      <c r="BF219" s="83"/>
      <c r="BG219" s="83"/>
      <c r="BH219" s="40"/>
      <c r="BI219" s="40"/>
      <c r="BJ219" s="40"/>
      <c r="BK219" s="40"/>
      <c r="BL219" s="40"/>
    </row>
    <row r="220" spans="1:64" ht="23.25" customHeight="1">
      <c r="A220" s="85">
        <v>52</v>
      </c>
      <c r="B220" s="63">
        <v>18</v>
      </c>
      <c r="C220" s="64">
        <v>47</v>
      </c>
      <c r="D220" s="33">
        <f t="shared" si="3"/>
        <v>18</v>
      </c>
      <c r="E220" s="33"/>
      <c r="F220" s="33"/>
      <c r="G220" s="33"/>
      <c r="H220" s="33"/>
      <c r="I220" s="35"/>
      <c r="J220" s="34"/>
      <c r="K220" s="33"/>
      <c r="L220" s="33"/>
      <c r="M220" s="33"/>
      <c r="N220" s="33"/>
      <c r="O220" s="33"/>
      <c r="P220" s="33"/>
      <c r="Q220" s="34"/>
      <c r="R220" s="33" t="s">
        <v>472</v>
      </c>
      <c r="S220" s="33" t="s">
        <v>200</v>
      </c>
      <c r="T220" s="33" t="s">
        <v>2</v>
      </c>
      <c r="U220" s="33" t="s">
        <v>255</v>
      </c>
      <c r="V220" s="34"/>
      <c r="W220" s="33" t="s">
        <v>1662</v>
      </c>
      <c r="X220" s="33" t="s">
        <v>473</v>
      </c>
      <c r="Y220" s="33" t="s">
        <v>127</v>
      </c>
      <c r="Z220" s="35" t="s">
        <v>414</v>
      </c>
      <c r="AA220" s="33" t="s">
        <v>474</v>
      </c>
      <c r="AB220" s="33" t="s">
        <v>475</v>
      </c>
      <c r="AC220" s="33" t="s">
        <v>1663</v>
      </c>
      <c r="AD220" s="33" t="s">
        <v>1664</v>
      </c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3" t="s">
        <v>476</v>
      </c>
      <c r="AP220" s="33" t="s">
        <v>33</v>
      </c>
      <c r="AQ220" s="33" t="s">
        <v>25</v>
      </c>
      <c r="AR220" s="34"/>
      <c r="AS220" s="34"/>
      <c r="AT220" s="34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3"/>
      <c r="BI220" s="37"/>
      <c r="BJ220" s="37"/>
      <c r="BK220" s="37"/>
      <c r="BL220" s="37"/>
    </row>
    <row r="221" spans="1:64" ht="23.25" customHeight="1">
      <c r="A221" s="31">
        <v>141</v>
      </c>
      <c r="B221" s="63">
        <v>19</v>
      </c>
      <c r="C221" s="64">
        <v>48</v>
      </c>
      <c r="D221" s="48">
        <f t="shared" si="3"/>
        <v>19</v>
      </c>
      <c r="E221" s="48"/>
      <c r="F221" s="48"/>
      <c r="G221" s="48"/>
      <c r="H221" s="48"/>
      <c r="I221" s="54"/>
      <c r="J221" s="51"/>
      <c r="K221" s="48"/>
      <c r="L221" s="48"/>
      <c r="M221" s="48"/>
      <c r="N221" s="48"/>
      <c r="O221" s="48"/>
      <c r="P221" s="48"/>
      <c r="Q221" s="51"/>
      <c r="R221" s="48" t="s">
        <v>1101</v>
      </c>
      <c r="S221" s="48" t="s">
        <v>1073</v>
      </c>
      <c r="T221" s="48" t="s">
        <v>2</v>
      </c>
      <c r="U221" s="48" t="s">
        <v>24</v>
      </c>
      <c r="V221" s="51"/>
      <c r="W221" s="48" t="s">
        <v>1665</v>
      </c>
      <c r="X221" s="48">
        <v>953010001975043</v>
      </c>
      <c r="Y221" s="48" t="s">
        <v>1102</v>
      </c>
      <c r="Z221" s="52" t="s">
        <v>122</v>
      </c>
      <c r="AA221" s="48" t="s">
        <v>1103</v>
      </c>
      <c r="AB221" s="48" t="s">
        <v>1104</v>
      </c>
      <c r="AC221" s="48" t="s">
        <v>1173</v>
      </c>
      <c r="AD221" s="48" t="s">
        <v>1173</v>
      </c>
      <c r="AE221" s="51"/>
      <c r="AF221" s="51"/>
      <c r="AG221" s="55" t="str">
        <f>HYPERLINK("https://drive.google.com/open?id=1cgXt0wDskDQEpSOzh2XAFe9tKK2C3AqM","Transakce_2000006828944121.pdf")</f>
        <v>Transakce_2000006828944121.pdf</v>
      </c>
      <c r="AH221" s="51"/>
      <c r="AI221" s="55" t="str">
        <f>HYPERLINK("https://drive.google.com/open?id=1dUihtzc2cerQOZVUGrSaZnxrJrk3CCzN","Q Goldie2.jpg")</f>
        <v>Q Goldie2.jpg</v>
      </c>
      <c r="AJ221" s="55" t="str">
        <f>HYPERLINK("https://drive.google.com/open?id=1K1a7XYc_04IWQpBlKxvdokotUj6jlb1Z","Q Goldie.jpg")</f>
        <v>Q Goldie.jpg</v>
      </c>
      <c r="AK221" s="55" t="str">
        <f>HYPERLINK("https://drive.google.com/open?id=13D9mjA2X6P72GhcWWjonaT4sSsFkdxUN","Q Goldie (2).jpg")</f>
        <v>Q Goldie (2).jpg</v>
      </c>
      <c r="AL221" s="51"/>
      <c r="AM221" s="48" t="s">
        <v>4</v>
      </c>
      <c r="AN221" s="51"/>
      <c r="AO221" s="48" t="s">
        <v>1105</v>
      </c>
      <c r="AP221" s="48" t="s">
        <v>1106</v>
      </c>
      <c r="AQ221" s="48" t="s">
        <v>246</v>
      </c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</row>
    <row r="222" spans="1:64" ht="23.25" customHeight="1">
      <c r="A222" s="31">
        <v>105</v>
      </c>
      <c r="B222" s="63">
        <v>20</v>
      </c>
      <c r="C222" s="64">
        <v>49</v>
      </c>
      <c r="D222" s="48">
        <f t="shared" si="3"/>
        <v>20</v>
      </c>
      <c r="E222" s="48"/>
      <c r="F222" s="48"/>
      <c r="G222" s="48"/>
      <c r="H222" s="48"/>
      <c r="I222" s="48"/>
      <c r="J222" s="51"/>
      <c r="K222" s="48"/>
      <c r="L222" s="48"/>
      <c r="M222" s="48"/>
      <c r="N222" s="48"/>
      <c r="O222" s="48"/>
      <c r="P222" s="48"/>
      <c r="Q222" s="51"/>
      <c r="R222" s="48" t="s">
        <v>829</v>
      </c>
      <c r="S222" s="48" t="s">
        <v>200</v>
      </c>
      <c r="T222" s="48" t="s">
        <v>2</v>
      </c>
      <c r="U222" s="48" t="s">
        <v>255</v>
      </c>
      <c r="V222" s="51"/>
      <c r="W222" s="48" t="s">
        <v>1666</v>
      </c>
      <c r="X222" s="48">
        <v>89579</v>
      </c>
      <c r="Y222" s="48" t="s">
        <v>127</v>
      </c>
      <c r="Z222" s="52" t="s">
        <v>122</v>
      </c>
      <c r="AA222" s="48" t="s">
        <v>504</v>
      </c>
      <c r="AB222" s="48" t="s">
        <v>830</v>
      </c>
      <c r="AC222" s="48" t="s">
        <v>1663</v>
      </c>
      <c r="AD222" s="48" t="s">
        <v>1495</v>
      </c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48" t="s">
        <v>831</v>
      </c>
      <c r="AP222" s="48" t="s">
        <v>25</v>
      </c>
      <c r="AQ222" s="48" t="s">
        <v>25</v>
      </c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</row>
    <row r="223" spans="1:64" ht="23.25" customHeight="1">
      <c r="A223" s="31">
        <v>127</v>
      </c>
      <c r="B223" s="63">
        <v>21</v>
      </c>
      <c r="C223" s="64">
        <v>50</v>
      </c>
      <c r="D223" s="48">
        <f t="shared" si="3"/>
        <v>21</v>
      </c>
      <c r="E223" s="48"/>
      <c r="F223" s="48"/>
      <c r="G223" s="48"/>
      <c r="H223" s="48"/>
      <c r="I223" s="48"/>
      <c r="J223" s="51"/>
      <c r="K223" s="48"/>
      <c r="L223" s="48"/>
      <c r="M223" s="48"/>
      <c r="N223" s="51"/>
      <c r="O223" s="51"/>
      <c r="P223" s="51"/>
      <c r="Q223" s="51"/>
      <c r="R223" s="48" t="s">
        <v>997</v>
      </c>
      <c r="S223" s="48" t="s">
        <v>200</v>
      </c>
      <c r="T223" s="48" t="s">
        <v>2</v>
      </c>
      <c r="U223" s="48" t="s">
        <v>255</v>
      </c>
      <c r="V223" s="51"/>
      <c r="W223" s="48" t="s">
        <v>1668</v>
      </c>
      <c r="X223" s="48" t="s">
        <v>998</v>
      </c>
      <c r="Y223" s="48" t="s">
        <v>127</v>
      </c>
      <c r="Z223" s="52" t="s">
        <v>994</v>
      </c>
      <c r="AA223" s="48" t="s">
        <v>515</v>
      </c>
      <c r="AB223" s="48" t="s">
        <v>995</v>
      </c>
      <c r="AC223" s="48" t="s">
        <v>1663</v>
      </c>
      <c r="AD223" s="48" t="s">
        <v>1669</v>
      </c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48" t="s">
        <v>999</v>
      </c>
      <c r="AP223" s="48" t="s">
        <v>25</v>
      </c>
      <c r="AQ223" s="48" t="s">
        <v>25</v>
      </c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</row>
    <row r="224" spans="1:64" ht="23.25" customHeight="1">
      <c r="A224" s="31">
        <v>157</v>
      </c>
      <c r="B224" s="63">
        <v>22</v>
      </c>
      <c r="C224" s="64">
        <v>51</v>
      </c>
      <c r="D224" s="48">
        <f t="shared" si="3"/>
        <v>22</v>
      </c>
      <c r="E224" s="48"/>
      <c r="F224" s="48"/>
      <c r="G224" s="48"/>
      <c r="H224" s="48"/>
      <c r="I224" s="48"/>
      <c r="J224" s="51"/>
      <c r="K224" s="48"/>
      <c r="L224" s="48"/>
      <c r="M224" s="48"/>
      <c r="N224" s="51"/>
      <c r="O224" s="48"/>
      <c r="P224" s="48"/>
      <c r="Q224" s="51"/>
      <c r="R224" s="48" t="s">
        <v>1208</v>
      </c>
      <c r="S224" s="48" t="s">
        <v>211</v>
      </c>
      <c r="T224" s="48" t="s">
        <v>2</v>
      </c>
      <c r="U224" s="48" t="s">
        <v>255</v>
      </c>
      <c r="V224" s="51"/>
      <c r="W224" s="48" t="s">
        <v>1670</v>
      </c>
      <c r="X224" s="48" t="s">
        <v>1209</v>
      </c>
      <c r="Y224" s="48" t="s">
        <v>1210</v>
      </c>
      <c r="Z224" s="52" t="s">
        <v>359</v>
      </c>
      <c r="AA224" s="48" t="s">
        <v>1042</v>
      </c>
      <c r="AB224" s="48" t="s">
        <v>1104</v>
      </c>
      <c r="AC224" s="48" t="s">
        <v>1173</v>
      </c>
      <c r="AD224" s="48" t="s">
        <v>1211</v>
      </c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48" t="s">
        <v>1212</v>
      </c>
      <c r="AP224" s="48" t="s">
        <v>33</v>
      </c>
      <c r="AQ224" s="48" t="s">
        <v>25</v>
      </c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</row>
    <row r="225" spans="1:64" ht="23.25" customHeight="1">
      <c r="A225" s="31">
        <v>151</v>
      </c>
      <c r="B225" s="63">
        <v>23</v>
      </c>
      <c r="C225" s="64">
        <v>52</v>
      </c>
      <c r="D225" s="48">
        <f t="shared" si="3"/>
        <v>23</v>
      </c>
      <c r="E225" s="48"/>
      <c r="F225" s="48"/>
      <c r="G225" s="48"/>
      <c r="H225" s="48"/>
      <c r="I225" s="48"/>
      <c r="J225" s="51"/>
      <c r="K225" s="48"/>
      <c r="L225" s="48"/>
      <c r="M225" s="48"/>
      <c r="N225" s="48"/>
      <c r="O225" s="48"/>
      <c r="P225" s="48"/>
      <c r="Q225" s="51"/>
      <c r="R225" s="48" t="s">
        <v>1160</v>
      </c>
      <c r="S225" s="48" t="s">
        <v>200</v>
      </c>
      <c r="T225" s="48" t="s">
        <v>1161</v>
      </c>
      <c r="U225" s="48" t="s">
        <v>255</v>
      </c>
      <c r="V225" s="51"/>
      <c r="W225" s="48" t="s">
        <v>1671</v>
      </c>
      <c r="X225" s="48">
        <v>89592</v>
      </c>
      <c r="Y225" s="48" t="s">
        <v>919</v>
      </c>
      <c r="Z225" s="52" t="s">
        <v>1162</v>
      </c>
      <c r="AA225" s="48" t="s">
        <v>1163</v>
      </c>
      <c r="AB225" s="48" t="s">
        <v>1164</v>
      </c>
      <c r="AC225" s="48" t="s">
        <v>1663</v>
      </c>
      <c r="AD225" s="48" t="s">
        <v>1672</v>
      </c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48" t="s">
        <v>1165</v>
      </c>
      <c r="AP225" s="48" t="s">
        <v>25</v>
      </c>
      <c r="AQ225" s="48" t="s">
        <v>25</v>
      </c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</row>
    <row r="226" spans="1:64" ht="23.25" customHeight="1">
      <c r="A226" s="31">
        <v>126</v>
      </c>
      <c r="B226" s="63">
        <v>24</v>
      </c>
      <c r="C226" s="64">
        <v>53</v>
      </c>
      <c r="D226" s="48">
        <f t="shared" si="3"/>
        <v>24</v>
      </c>
      <c r="E226" s="48"/>
      <c r="F226" s="48"/>
      <c r="G226" s="48"/>
      <c r="H226" s="48"/>
      <c r="I226" s="48"/>
      <c r="J226" s="51"/>
      <c r="K226" s="48"/>
      <c r="L226" s="48"/>
      <c r="M226" s="48"/>
      <c r="N226" s="48"/>
      <c r="O226" s="48"/>
      <c r="P226" s="48"/>
      <c r="Q226" s="51"/>
      <c r="R226" s="48" t="s">
        <v>992</v>
      </c>
      <c r="S226" s="48" t="s">
        <v>200</v>
      </c>
      <c r="T226" s="48" t="s">
        <v>2</v>
      </c>
      <c r="U226" s="48" t="s">
        <v>255</v>
      </c>
      <c r="V226" s="51"/>
      <c r="W226" s="48" t="s">
        <v>1673</v>
      </c>
      <c r="X226" s="48" t="s">
        <v>993</v>
      </c>
      <c r="Y226" s="48" t="s">
        <v>127</v>
      </c>
      <c r="Z226" s="52" t="s">
        <v>994</v>
      </c>
      <c r="AA226" s="48" t="s">
        <v>515</v>
      </c>
      <c r="AB226" s="48" t="s">
        <v>995</v>
      </c>
      <c r="AC226" s="48" t="s">
        <v>1663</v>
      </c>
      <c r="AD226" s="48" t="s">
        <v>1669</v>
      </c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48" t="s">
        <v>996</v>
      </c>
      <c r="AP226" s="48" t="s">
        <v>25</v>
      </c>
      <c r="AQ226" s="48" t="s">
        <v>25</v>
      </c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51"/>
      <c r="BG226" s="51"/>
      <c r="BH226" s="51"/>
      <c r="BI226" s="51"/>
      <c r="BJ226" s="51"/>
      <c r="BK226" s="51"/>
      <c r="BL226" s="51"/>
    </row>
    <row r="227" spans="1:64" ht="23.25" customHeight="1">
      <c r="A227" s="31">
        <v>108</v>
      </c>
      <c r="B227" s="63">
        <v>25</v>
      </c>
      <c r="C227" s="64">
        <v>54</v>
      </c>
      <c r="D227" s="48">
        <f t="shared" si="3"/>
        <v>25</v>
      </c>
      <c r="E227" s="48"/>
      <c r="F227" s="48"/>
      <c r="G227" s="48"/>
      <c r="H227" s="48"/>
      <c r="I227" s="48"/>
      <c r="J227" s="51"/>
      <c r="K227" s="48"/>
      <c r="L227" s="48"/>
      <c r="M227" s="48"/>
      <c r="N227" s="48"/>
      <c r="O227" s="48"/>
      <c r="P227" s="48"/>
      <c r="Q227" s="51"/>
      <c r="R227" s="48" t="s">
        <v>845</v>
      </c>
      <c r="S227" s="48" t="s">
        <v>293</v>
      </c>
      <c r="T227" s="48" t="s">
        <v>2</v>
      </c>
      <c r="U227" s="48" t="s">
        <v>255</v>
      </c>
      <c r="V227" s="51"/>
      <c r="W227" s="48" t="s">
        <v>1674</v>
      </c>
      <c r="X227" s="48">
        <v>67152</v>
      </c>
      <c r="Y227" s="48" t="s">
        <v>241</v>
      </c>
      <c r="Z227" s="52" t="s">
        <v>359</v>
      </c>
      <c r="AA227" s="48" t="s">
        <v>846</v>
      </c>
      <c r="AB227" s="48" t="s">
        <v>847</v>
      </c>
      <c r="AC227" s="48" t="s">
        <v>1675</v>
      </c>
      <c r="AD227" s="48" t="s">
        <v>1676</v>
      </c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48" t="s">
        <v>848</v>
      </c>
      <c r="AP227" s="48" t="s">
        <v>33</v>
      </c>
      <c r="AQ227" s="48" t="s">
        <v>25</v>
      </c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51"/>
      <c r="BG227" s="51"/>
      <c r="BH227" s="51"/>
      <c r="BI227" s="51"/>
      <c r="BJ227" s="51"/>
      <c r="BK227" s="51"/>
      <c r="BL227" s="51"/>
    </row>
    <row r="228" spans="1:64" ht="23.25" customHeight="1">
      <c r="A228" s="31">
        <v>87</v>
      </c>
      <c r="B228" s="63">
        <v>26</v>
      </c>
      <c r="C228" s="64">
        <v>55</v>
      </c>
      <c r="D228" s="48">
        <f t="shared" si="3"/>
        <v>26</v>
      </c>
      <c r="E228" s="48"/>
      <c r="F228" s="48"/>
      <c r="G228" s="48"/>
      <c r="H228" s="48"/>
      <c r="I228" s="48"/>
      <c r="J228" s="53"/>
      <c r="K228" s="48"/>
      <c r="L228" s="48"/>
      <c r="M228" s="48"/>
      <c r="N228" s="48"/>
      <c r="O228" s="48"/>
      <c r="P228" s="53"/>
      <c r="Q228" s="53"/>
      <c r="R228" s="48" t="s">
        <v>734</v>
      </c>
      <c r="S228" s="48" t="s">
        <v>560</v>
      </c>
      <c r="T228" s="48" t="s">
        <v>2</v>
      </c>
      <c r="U228" s="48" t="s">
        <v>255</v>
      </c>
      <c r="V228" s="53"/>
      <c r="W228" s="48" t="s">
        <v>1677</v>
      </c>
      <c r="X228" s="48" t="s">
        <v>735</v>
      </c>
      <c r="Y228" s="48" t="s">
        <v>127</v>
      </c>
      <c r="Z228" s="52" t="s">
        <v>122</v>
      </c>
      <c r="AA228" s="48" t="s">
        <v>736</v>
      </c>
      <c r="AB228" s="48" t="s">
        <v>737</v>
      </c>
      <c r="AC228" s="48" t="s">
        <v>1431</v>
      </c>
      <c r="AD228" s="48" t="s">
        <v>1431</v>
      </c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48" t="s">
        <v>738</v>
      </c>
      <c r="AP228" s="48" t="s">
        <v>25</v>
      </c>
      <c r="AQ228" s="48" t="s">
        <v>739</v>
      </c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48"/>
      <c r="BI228" s="51"/>
      <c r="BJ228" s="51"/>
      <c r="BK228" s="51"/>
      <c r="BL228" s="51"/>
    </row>
    <row r="229" spans="1:64" ht="23.25" customHeight="1">
      <c r="A229" s="31">
        <v>167</v>
      </c>
      <c r="B229" s="63">
        <v>27</v>
      </c>
      <c r="C229" s="64">
        <v>56</v>
      </c>
      <c r="D229" s="48">
        <f t="shared" si="3"/>
        <v>27</v>
      </c>
      <c r="E229" s="48"/>
      <c r="F229" s="48"/>
      <c r="G229" s="48"/>
      <c r="H229" s="48"/>
      <c r="I229" s="48"/>
      <c r="J229" s="51"/>
      <c r="K229" s="48"/>
      <c r="L229" s="48"/>
      <c r="M229" s="48"/>
      <c r="N229" s="51"/>
      <c r="O229" s="48"/>
      <c r="P229" s="48"/>
      <c r="Q229" s="51"/>
      <c r="R229" s="48" t="s">
        <v>1257</v>
      </c>
      <c r="S229" s="48" t="s">
        <v>1218</v>
      </c>
      <c r="T229" s="48" t="s">
        <v>2</v>
      </c>
      <c r="U229" s="48" t="s">
        <v>255</v>
      </c>
      <c r="V229" s="51"/>
      <c r="W229" s="48" t="s">
        <v>1678</v>
      </c>
      <c r="X229" s="48" t="s">
        <v>1258</v>
      </c>
      <c r="Y229" s="48" t="s">
        <v>1259</v>
      </c>
      <c r="Z229" s="52" t="s">
        <v>1260</v>
      </c>
      <c r="AA229" s="48" t="s">
        <v>1261</v>
      </c>
      <c r="AB229" s="48" t="s">
        <v>1262</v>
      </c>
      <c r="AC229" s="48" t="s">
        <v>1223</v>
      </c>
      <c r="AD229" s="48" t="s">
        <v>1223</v>
      </c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48" t="s">
        <v>1263</v>
      </c>
      <c r="AP229" s="48" t="s">
        <v>246</v>
      </c>
      <c r="AQ229" s="48" t="s">
        <v>246</v>
      </c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</row>
    <row r="230" spans="1:64" ht="23.25" customHeight="1">
      <c r="A230" s="85">
        <v>46</v>
      </c>
      <c r="B230" s="63">
        <v>28</v>
      </c>
      <c r="C230" s="64">
        <v>57</v>
      </c>
      <c r="D230" s="48">
        <f t="shared" si="3"/>
        <v>28</v>
      </c>
      <c r="E230" s="48"/>
      <c r="F230" s="48"/>
      <c r="G230" s="48"/>
      <c r="H230" s="48"/>
      <c r="I230" s="52"/>
      <c r="J230" s="179"/>
      <c r="K230" s="48"/>
      <c r="L230" s="48"/>
      <c r="M230" s="48"/>
      <c r="N230" s="48"/>
      <c r="O230" s="179"/>
      <c r="P230" s="48"/>
      <c r="Q230" s="179"/>
      <c r="R230" s="48" t="s">
        <v>432</v>
      </c>
      <c r="S230" s="48" t="s">
        <v>433</v>
      </c>
      <c r="T230" s="48" t="s">
        <v>2</v>
      </c>
      <c r="U230" s="48" t="s">
        <v>255</v>
      </c>
      <c r="V230" s="179"/>
      <c r="W230" s="48" t="s">
        <v>1679</v>
      </c>
      <c r="X230" s="48" t="s">
        <v>434</v>
      </c>
      <c r="Y230" s="48" t="s">
        <v>435</v>
      </c>
      <c r="Z230" s="52" t="s">
        <v>436</v>
      </c>
      <c r="AA230" s="48" t="s">
        <v>437</v>
      </c>
      <c r="AB230" s="48" t="s">
        <v>438</v>
      </c>
      <c r="AC230" s="48" t="s">
        <v>1437</v>
      </c>
      <c r="AD230" s="48" t="s">
        <v>1437</v>
      </c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48" t="s">
        <v>1680</v>
      </c>
      <c r="AP230" s="48" t="s">
        <v>246</v>
      </c>
      <c r="AQ230" s="48" t="s">
        <v>246</v>
      </c>
      <c r="AR230" s="179"/>
      <c r="AS230" s="179"/>
      <c r="AT230" s="179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48"/>
      <c r="BI230" s="48"/>
      <c r="BJ230" s="48"/>
      <c r="BK230" s="48"/>
      <c r="BL230" s="48"/>
    </row>
    <row r="231" spans="1:64" ht="12.75">
      <c r="A231" s="27"/>
      <c r="B231" s="27"/>
      <c r="C231" s="28"/>
      <c r="D231" s="28">
        <f t="shared" si="3"/>
        <v>0</v>
      </c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</row>
    <row r="232" spans="1:64" ht="12.75">
      <c r="A232" s="27"/>
      <c r="B232" s="27"/>
      <c r="C232" s="28"/>
      <c r="D232" s="28">
        <f t="shared" si="3"/>
        <v>0</v>
      </c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</row>
    <row r="233" spans="1:64" ht="12.75">
      <c r="A233" s="27"/>
      <c r="B233" s="27"/>
      <c r="C233" s="28"/>
      <c r="D233" s="28">
        <f t="shared" si="3"/>
        <v>0</v>
      </c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</row>
    <row r="234" spans="1:64" ht="12.75">
      <c r="A234" s="29" t="s">
        <v>1681</v>
      </c>
      <c r="B234" s="29"/>
      <c r="C234" s="30"/>
      <c r="D234" s="30">
        <f t="shared" si="3"/>
        <v>0</v>
      </c>
      <c r="E234" s="30">
        <f>SUM(C235:C239)</f>
        <v>300</v>
      </c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</row>
    <row r="235" spans="1:64" ht="23.25" customHeight="1">
      <c r="A235" s="180">
        <v>177</v>
      </c>
      <c r="B235" s="122">
        <v>29</v>
      </c>
      <c r="C235" s="116">
        <v>58</v>
      </c>
      <c r="D235" s="116">
        <f t="shared" si="3"/>
        <v>29</v>
      </c>
      <c r="E235" s="116"/>
      <c r="F235" s="112"/>
      <c r="G235" s="116"/>
      <c r="H235" s="115"/>
      <c r="I235" s="113"/>
      <c r="J235" s="112"/>
      <c r="K235" s="115"/>
      <c r="L235" s="116"/>
      <c r="M235" s="116"/>
      <c r="N235" s="113"/>
      <c r="O235" s="112"/>
      <c r="P235" s="112"/>
      <c r="Q235" s="112" t="s">
        <v>1345</v>
      </c>
      <c r="R235" s="116" t="s">
        <v>1682</v>
      </c>
      <c r="S235" s="112" t="s">
        <v>1346</v>
      </c>
      <c r="T235" s="116" t="s">
        <v>2</v>
      </c>
      <c r="U235" s="112"/>
      <c r="V235" s="112"/>
      <c r="W235" s="115" t="s">
        <v>1683</v>
      </c>
      <c r="X235" s="113">
        <v>941000022998141</v>
      </c>
      <c r="Y235" s="116" t="s">
        <v>1684</v>
      </c>
      <c r="Z235" s="165" t="s">
        <v>1347</v>
      </c>
      <c r="AA235" s="112" t="s">
        <v>1348</v>
      </c>
      <c r="AB235" s="112" t="s">
        <v>648</v>
      </c>
      <c r="AC235" s="112" t="s">
        <v>1349</v>
      </c>
      <c r="AD235" s="112" t="s">
        <v>1349</v>
      </c>
      <c r="AE235" s="118" t="str">
        <f>HYPERLINK("https://drive.google.com/open?id=1s9uE0NExOhOl061BddncACpaToeLpl_g","inbound2184730137886158307.jpg")</f>
        <v>inbound2184730137886158307.jpg</v>
      </c>
      <c r="AF235" s="118" t="str">
        <f>HYPERLINK("https://drive.google.com/open?id=1zMpQ3uioGA5oRyYWWxLVlMgOelj8Oh3R","inbound7306840146047018839.jpg")</f>
        <v>inbound7306840146047018839.jpg</v>
      </c>
      <c r="AG235" s="118" t="str">
        <f>HYPERLINK("https://drive.google.com/open?id=1XOTdWAvSlvEm58Qg_U4AXtL4rCduB23L","inbound413558708721558362.jpg")</f>
        <v>inbound413558708721558362.jpg</v>
      </c>
      <c r="AH235" s="118" t="str">
        <f>HYPERLINK("https://drive.google.com/open?id=1N_dUgotaZuXs0n1u6cygia3e6OTlAe2c","inbound5204316640908153374.jpg")</f>
        <v>inbound5204316640908153374.jpg</v>
      </c>
      <c r="AI235" s="118" t="str">
        <f>HYPERLINK("https://drive.google.com/open?id=1gX1Fn-HGC_yXw3IZuFpQVlZ8inBmqq13","inbound2006550607623855150.jpg")</f>
        <v>inbound2006550607623855150.jpg</v>
      </c>
      <c r="AJ235" s="118" t="str">
        <f>HYPERLINK("https://drive.google.com/open?id=1clPEEDMQi9Cy4iThl6ry2ncd2eZbqnyb","inbound6066678869761437277.jpg")</f>
        <v>inbound6066678869761437277.jpg</v>
      </c>
      <c r="AK235" s="112"/>
      <c r="AL235" s="112" t="s">
        <v>4</v>
      </c>
      <c r="AM235" s="112"/>
      <c r="AN235" s="112" t="s">
        <v>1350</v>
      </c>
      <c r="AO235" s="48" t="s">
        <v>1350</v>
      </c>
      <c r="AP235" s="116" t="s">
        <v>38</v>
      </c>
      <c r="AQ235" s="181" t="s">
        <v>1351</v>
      </c>
      <c r="AR235" s="112"/>
      <c r="AS235" s="112"/>
      <c r="AT235" s="112"/>
      <c r="AU235" s="112"/>
      <c r="AV235" s="112"/>
      <c r="AW235" s="112"/>
      <c r="AX235" s="112"/>
      <c r="AY235" s="112"/>
      <c r="AZ235" s="112"/>
      <c r="BA235" s="112"/>
      <c r="BB235" s="112"/>
      <c r="BC235" s="112"/>
      <c r="BD235" s="112"/>
      <c r="BE235" s="112"/>
      <c r="BF235" s="112"/>
      <c r="BG235" s="112"/>
      <c r="BH235" s="112"/>
      <c r="BI235" s="112"/>
      <c r="BJ235" s="112"/>
      <c r="BK235" s="112"/>
      <c r="BL235" s="51"/>
    </row>
    <row r="236" spans="1:64" ht="23.25" customHeight="1">
      <c r="A236" s="42">
        <v>74</v>
      </c>
      <c r="B236" s="67">
        <v>30</v>
      </c>
      <c r="C236" s="40">
        <v>59</v>
      </c>
      <c r="D236" s="40">
        <f t="shared" si="3"/>
        <v>30</v>
      </c>
      <c r="E236" s="40"/>
      <c r="F236" s="40"/>
      <c r="G236" s="40"/>
      <c r="H236" s="40"/>
      <c r="I236" s="107"/>
      <c r="J236" s="80"/>
      <c r="K236" s="40"/>
      <c r="L236" s="40"/>
      <c r="M236" s="40"/>
      <c r="N236" s="40"/>
      <c r="O236" s="40"/>
      <c r="P236" s="40"/>
      <c r="Q236" s="80"/>
      <c r="R236" s="40" t="s">
        <v>653</v>
      </c>
      <c r="S236" s="40" t="s">
        <v>646</v>
      </c>
      <c r="T236" s="40" t="s">
        <v>2</v>
      </c>
      <c r="U236" s="40" t="s">
        <v>37</v>
      </c>
      <c r="V236" s="40"/>
      <c r="W236" s="40" t="s">
        <v>1685</v>
      </c>
      <c r="X236" s="40">
        <v>203164000031081</v>
      </c>
      <c r="Y236" s="40" t="s">
        <v>127</v>
      </c>
      <c r="Z236" s="41" t="s">
        <v>359</v>
      </c>
      <c r="AA236" s="40" t="s">
        <v>647</v>
      </c>
      <c r="AB236" s="40" t="s">
        <v>654</v>
      </c>
      <c r="AC236" s="40" t="s">
        <v>1686</v>
      </c>
      <c r="AD236" s="40" t="s">
        <v>1427</v>
      </c>
      <c r="AE236" s="80"/>
      <c r="AF236" s="82" t="str">
        <f>HYPERLINK("https://drive.google.com/open?id=1Yo_8aA2eBEOAXM1f6f6C4AoC-ZBuoa1p","Skener_20210726 (2).png")</f>
        <v>Skener_20210726 (2).png</v>
      </c>
      <c r="AG236" s="82" t="str">
        <f>HYPERLINK("https://drive.google.com/open?id=1lCYA2X3qPbLKaE_pcY6KHix7nL6dtIiA","Skener_20210725 (4).png")</f>
        <v>Skener_20210725 (4).png</v>
      </c>
      <c r="AH236" s="82" t="str">
        <f>HYPERLINK("https://drive.google.com/open?id=13rf8sK4PEErLZbk9T6CA5PO8vgApQz8P","Skener_20210725 (2).png")</f>
        <v>Skener_20210725 (2).png</v>
      </c>
      <c r="AI236" s="82" t="str">
        <f>HYPERLINK("https://drive.google.com/open?id=1RZSYvT3tN0v6UoLFu_dwY_b4MTX8XJ8Z","Skener_20210725 (2).png")</f>
        <v>Skener_20210725 (2).png</v>
      </c>
      <c r="AJ236" s="82" t="str">
        <f>HYPERLINK("https://drive.google.com/open?id=1dAdDIkPv3oomdWlPuNoMplJgsV19QIYo","Skener_20210725.png")</f>
        <v>Skener_20210725.png</v>
      </c>
      <c r="AK236" s="82" t="str">
        <f>HYPERLINK("https://drive.google.com/open?id=1oeOvq52qZwj2OOuRjEKdpAYxAXPL2HE8","Skener_20210725 (2).png")</f>
        <v>Skener_20210725 (2).png</v>
      </c>
      <c r="AL236" s="82" t="str">
        <f>HYPERLINK("https://drive.google.com/open?id=1V_iDGu3SNPmo2Be0ZHYR_sXXExrT9L9g","Skener_20210725 (3).png")</f>
        <v>Skener_20210725 (3).png</v>
      </c>
      <c r="AM236" s="40" t="s">
        <v>4</v>
      </c>
      <c r="AN236" s="80"/>
      <c r="AO236" s="40" t="s">
        <v>655</v>
      </c>
      <c r="AP236" s="40" t="s">
        <v>656</v>
      </c>
      <c r="AQ236" s="40" t="s">
        <v>39</v>
      </c>
      <c r="AR236" s="80"/>
      <c r="AS236" s="80"/>
      <c r="AT236" s="80"/>
      <c r="AU236" s="83"/>
      <c r="AV236" s="83"/>
      <c r="AW236" s="83"/>
      <c r="AX236" s="83"/>
      <c r="AY236" s="83"/>
      <c r="AZ236" s="83"/>
      <c r="BA236" s="83"/>
      <c r="BB236" s="83"/>
      <c r="BC236" s="83"/>
      <c r="BD236" s="83"/>
      <c r="BE236" s="83"/>
      <c r="BF236" s="83"/>
      <c r="BG236" s="83"/>
      <c r="BH236" s="40"/>
      <c r="BI236" s="84"/>
      <c r="BJ236" s="84"/>
      <c r="BK236" s="84"/>
      <c r="BL236" s="84"/>
    </row>
    <row r="237" spans="1:64" ht="23.25" customHeight="1">
      <c r="A237" s="38">
        <v>2</v>
      </c>
      <c r="B237" s="67">
        <v>31</v>
      </c>
      <c r="C237" s="40">
        <v>60</v>
      </c>
      <c r="D237" s="40">
        <f t="shared" si="3"/>
        <v>31</v>
      </c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182"/>
      <c r="Q237" s="40"/>
      <c r="R237" s="40" t="s">
        <v>61</v>
      </c>
      <c r="S237" s="153" t="s">
        <v>266</v>
      </c>
      <c r="T237" s="40" t="s">
        <v>2</v>
      </c>
      <c r="U237" s="40" t="s">
        <v>37</v>
      </c>
      <c r="V237" s="40"/>
      <c r="W237" s="40" t="s">
        <v>1687</v>
      </c>
      <c r="X237" s="40">
        <v>941000018999494</v>
      </c>
      <c r="Y237" s="40" t="s">
        <v>62</v>
      </c>
      <c r="Z237" s="41" t="s">
        <v>63</v>
      </c>
      <c r="AA237" s="40" t="s">
        <v>64</v>
      </c>
      <c r="AB237" s="40" t="s">
        <v>65</v>
      </c>
      <c r="AC237" s="40" t="s">
        <v>1446</v>
      </c>
      <c r="AD237" s="40" t="s">
        <v>9</v>
      </c>
      <c r="AE237" s="40"/>
      <c r="AF237" s="95" t="str">
        <f>HYPERLINK("https://drive.google.com/open?id=1f8nP3WFa3cI8M6DWNaFqWWToJab177Ef","Carmen1.jpg")</f>
        <v>Carmen1.jpg</v>
      </c>
      <c r="AG237" s="95" t="str">
        <f>HYPERLINK("https://drive.google.com/open?id=1Ftaa0CxApf6Bx26hCbd1XHFNmo5Q-91q","PTV_TPS_CZ_CZ (2).pdf")</f>
        <v>PTV_TPS_CZ_CZ (2).pdf</v>
      </c>
      <c r="AH237" s="95" t="str">
        <f>HYPERLINK("https://drive.google.com/open?id=1uGXNW1pOLGbAX_zNtmvojZFajfiZv3oi","206794772_1609134569291472_4110433929458251141_n.jpg")</f>
        <v>206794772_1609134569291472_4110433929458251141_n.jpg</v>
      </c>
      <c r="AI237" s="95" t="str">
        <f>HYPERLINK("https://drive.google.com/open?id=1kWxQkBa_G8RawTdw7r_xHiqzurSC4KyK","207393325_335036508066653_3909461952237952230_n.jpg")</f>
        <v>207393325_335036508066653_3909461952237952230_n.jpg</v>
      </c>
      <c r="AJ237" s="95" t="str">
        <f>HYPERLINK("https://drive.google.com/open?id=1bkMfW3Oxko2po4wphJaVUdl-u90Fkdet","205963581_332628728454849_7518495088865611110_n.jpg")</f>
        <v>205963581_332628728454849_7518495088865611110_n.jpg</v>
      </c>
      <c r="AK237" s="95" t="str">
        <f>HYPERLINK("https://drive.google.com/open?id=17ai49pGuMS2IfOoiZB07Rd0f5QjOFDft","205628056_1437987063228314_501193895915805651_n.jpg")</f>
        <v>205628056_1437987063228314_501193895915805651_n.jpg</v>
      </c>
      <c r="AL237" s="40"/>
      <c r="AM237" s="40" t="s">
        <v>4</v>
      </c>
      <c r="AN237" s="40"/>
      <c r="AO237" s="40" t="s">
        <v>66</v>
      </c>
      <c r="AP237" s="40" t="s">
        <v>25</v>
      </c>
      <c r="AQ237" s="40" t="s">
        <v>25</v>
      </c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</row>
    <row r="238" spans="1:64" ht="23.25" customHeight="1">
      <c r="A238" s="31">
        <v>116</v>
      </c>
      <c r="B238" s="63">
        <v>32</v>
      </c>
      <c r="C238" s="48">
        <v>61</v>
      </c>
      <c r="D238" s="48">
        <f t="shared" si="3"/>
        <v>32</v>
      </c>
      <c r="E238" s="48"/>
      <c r="F238" s="48"/>
      <c r="G238" s="48"/>
      <c r="H238" s="48"/>
      <c r="I238" s="54"/>
      <c r="J238" s="51"/>
      <c r="K238" s="48"/>
      <c r="L238" s="48"/>
      <c r="M238" s="48"/>
      <c r="N238" s="48"/>
      <c r="O238" s="48"/>
      <c r="P238" s="48"/>
      <c r="Q238" s="51"/>
      <c r="R238" s="48" t="s">
        <v>1688</v>
      </c>
      <c r="S238" s="48" t="s">
        <v>1689</v>
      </c>
      <c r="T238" s="48" t="s">
        <v>2</v>
      </c>
      <c r="U238" s="48" t="s">
        <v>37</v>
      </c>
      <c r="V238" s="48" t="s">
        <v>906</v>
      </c>
      <c r="W238" s="48" t="s">
        <v>1690</v>
      </c>
      <c r="X238" s="48">
        <v>981098104287796</v>
      </c>
      <c r="Y238" s="48" t="s">
        <v>907</v>
      </c>
      <c r="Z238" s="52" t="s">
        <v>908</v>
      </c>
      <c r="AA238" s="48" t="s">
        <v>909</v>
      </c>
      <c r="AB238" s="48" t="s">
        <v>910</v>
      </c>
      <c r="AC238" s="48" t="s">
        <v>1691</v>
      </c>
      <c r="AD238" s="48" t="s">
        <v>1691</v>
      </c>
      <c r="AE238" s="51"/>
      <c r="AF238" s="51"/>
      <c r="AG238" s="55" t="str">
        <f>HYPERLINK("https://drive.google.com/open?id=1ydSZG0u7q3zoU3FPF8_OR-b5EoM0B2FV","Transakce_2000006774248393.pdf")</f>
        <v>Transakce_2000006774248393.pdf</v>
      </c>
      <c r="AH238" s="51"/>
      <c r="AI238" s="51"/>
      <c r="AJ238" s="55" t="str">
        <f>HYPERLINK("https://drive.google.com/open?id=1kDwMGZMMH0c6ZlXHZXiQAVOwCwNj42GR","image.jpg")</f>
        <v>image.jpg</v>
      </c>
      <c r="AK238" s="55" t="str">
        <f>HYPERLINK("https://drive.google.com/open?id=1tol0FJ_a-RDX9gmLudmS9TpF8Wa7QeRm","image.jpg")</f>
        <v>image.jpg</v>
      </c>
      <c r="AL238" s="55" t="str">
        <f>HYPERLINK("https://drive.google.com/open?id=1pXRUJr8z2CE3HUt8B-LJfql1Svsdaab-","image.jpg")</f>
        <v>image.jpg</v>
      </c>
      <c r="AM238" s="48" t="s">
        <v>4</v>
      </c>
      <c r="AN238" s="51"/>
      <c r="AO238" s="48" t="s">
        <v>911</v>
      </c>
      <c r="AP238" s="48" t="s">
        <v>113</v>
      </c>
      <c r="AQ238" s="48" t="s">
        <v>113</v>
      </c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</row>
    <row r="239" spans="1:64" ht="25.5">
      <c r="A239" s="31">
        <v>88</v>
      </c>
      <c r="B239" s="63">
        <v>33</v>
      </c>
      <c r="C239" s="48">
        <v>62</v>
      </c>
      <c r="D239" s="48">
        <f t="shared" si="3"/>
        <v>33</v>
      </c>
      <c r="E239" s="48"/>
      <c r="F239" s="48"/>
      <c r="G239" s="48"/>
      <c r="H239" s="48"/>
      <c r="I239" s="48"/>
      <c r="J239" s="53"/>
      <c r="K239" s="48"/>
      <c r="L239" s="48"/>
      <c r="M239" s="48"/>
      <c r="N239" s="48"/>
      <c r="O239" s="48"/>
      <c r="P239" s="53"/>
      <c r="Q239" s="53"/>
      <c r="R239" s="48" t="s">
        <v>742</v>
      </c>
      <c r="S239" s="48" t="s">
        <v>743</v>
      </c>
      <c r="T239" s="48" t="s">
        <v>2</v>
      </c>
      <c r="U239" s="48" t="s">
        <v>704</v>
      </c>
      <c r="V239" s="53"/>
      <c r="W239" s="48" t="s">
        <v>1692</v>
      </c>
      <c r="X239" s="48">
        <v>18613</v>
      </c>
      <c r="Y239" s="48" t="s">
        <v>127</v>
      </c>
      <c r="Z239" s="52" t="s">
        <v>213</v>
      </c>
      <c r="AA239" s="48" t="s">
        <v>744</v>
      </c>
      <c r="AB239" s="48" t="s">
        <v>745</v>
      </c>
      <c r="AC239" s="48" t="s">
        <v>1693</v>
      </c>
      <c r="AD239" s="48" t="s">
        <v>1693</v>
      </c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48" t="s">
        <v>746</v>
      </c>
      <c r="AP239" s="48" t="s">
        <v>25</v>
      </c>
      <c r="AQ239" s="48" t="s">
        <v>25</v>
      </c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48"/>
      <c r="BI239" s="51"/>
      <c r="BJ239" s="51"/>
      <c r="BK239" s="51"/>
      <c r="BL239" s="51"/>
    </row>
    <row r="240" spans="1:64" ht="12.75">
      <c r="A240" s="29" t="s">
        <v>1694</v>
      </c>
      <c r="B240" s="29"/>
      <c r="C240" s="30"/>
      <c r="D240" s="30">
        <f t="shared" si="3"/>
        <v>0</v>
      </c>
      <c r="E240" s="30">
        <f>SUM(C241:C249)</f>
        <v>845</v>
      </c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</row>
    <row r="241" spans="1:64" ht="23.25" customHeight="1">
      <c r="A241" s="62">
        <v>16</v>
      </c>
      <c r="B241" s="32">
        <v>67</v>
      </c>
      <c r="C241" s="64">
        <v>167</v>
      </c>
      <c r="D241" s="64">
        <f t="shared" si="3"/>
        <v>67</v>
      </c>
      <c r="E241" s="64"/>
      <c r="F241" s="64"/>
      <c r="G241" s="64"/>
      <c r="H241" s="64"/>
      <c r="I241" s="76"/>
      <c r="J241" s="64"/>
      <c r="K241" s="64"/>
      <c r="L241" s="64"/>
      <c r="M241" s="64"/>
      <c r="N241" s="64"/>
      <c r="O241" s="64"/>
      <c r="P241" s="64"/>
      <c r="Q241" s="64"/>
      <c r="R241" s="64" t="s">
        <v>199</v>
      </c>
      <c r="S241" s="64" t="s">
        <v>200</v>
      </c>
      <c r="T241" s="64" t="s">
        <v>5</v>
      </c>
      <c r="U241" s="64" t="s">
        <v>24</v>
      </c>
      <c r="V241" s="64"/>
      <c r="W241" s="64" t="s">
        <v>1695</v>
      </c>
      <c r="X241" s="64">
        <v>43127</v>
      </c>
      <c r="Y241" s="64" t="s">
        <v>201</v>
      </c>
      <c r="Z241" s="65" t="s">
        <v>122</v>
      </c>
      <c r="AA241" s="64" t="s">
        <v>202</v>
      </c>
      <c r="AB241" s="64" t="s">
        <v>203</v>
      </c>
      <c r="AC241" s="64" t="s">
        <v>1495</v>
      </c>
      <c r="AD241" s="64" t="s">
        <v>1696</v>
      </c>
      <c r="AE241" s="64"/>
      <c r="AF241" s="64"/>
      <c r="AG241" s="79" t="str">
        <f>HYPERLINK("https://drive.google.com/open?id=1_8A5FezzP6rVfw2JqO0wNfCNktrfy76w","brixx platba.pdf")</f>
        <v>brixx platba.pdf</v>
      </c>
      <c r="AH241" s="79" t="str">
        <f>HYPERLINK("https://drive.google.com/open?id=1wa_kMg1Zr72F1jaunMGKuNavnXVBUDMP","brixx.pdf")</f>
        <v>brixx.pdf</v>
      </c>
      <c r="AI241" s="64"/>
      <c r="AJ241" s="79" t="str">
        <f>HYPERLINK("https://drive.google.com/open?id=10OKgn-79Yz__JWOhnw9-5mb5GGD_Pe0w","202107121247 (1).pdf")</f>
        <v>202107121247 (1).pdf</v>
      </c>
      <c r="AK241" s="79" t="str">
        <f>HYPERLINK("https://drive.google.com/open?id=1oViFqzPhGVjbaSOdjFvGRPgzn_Qx3tA4","202107121246 (1).pdf")</f>
        <v>202107121246 (1).pdf</v>
      </c>
      <c r="AL241" s="64"/>
      <c r="AM241" s="64" t="s">
        <v>4</v>
      </c>
      <c r="AN241" s="64"/>
      <c r="AO241" s="64" t="s">
        <v>204</v>
      </c>
      <c r="AP241" s="64" t="s">
        <v>25</v>
      </c>
      <c r="AQ241" s="64" t="s">
        <v>25</v>
      </c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</row>
    <row r="242" spans="1:64" ht="23.25" customHeight="1">
      <c r="A242" s="47">
        <v>37</v>
      </c>
      <c r="B242" s="183">
        <v>68</v>
      </c>
      <c r="C242" s="40">
        <v>168</v>
      </c>
      <c r="D242" s="40">
        <f t="shared" si="3"/>
        <v>68</v>
      </c>
      <c r="E242" s="40"/>
      <c r="F242" s="40"/>
      <c r="G242" s="40"/>
      <c r="H242" s="40"/>
      <c r="I242" s="40"/>
      <c r="J242" s="80"/>
      <c r="K242" s="40"/>
      <c r="L242" s="40"/>
      <c r="M242" s="40"/>
      <c r="N242" s="40"/>
      <c r="O242" s="40"/>
      <c r="P242" s="40"/>
      <c r="Q242" s="80"/>
      <c r="R242" s="40" t="s">
        <v>368</v>
      </c>
      <c r="S242" s="40" t="s">
        <v>369</v>
      </c>
      <c r="T242" s="40" t="s">
        <v>5</v>
      </c>
      <c r="U242" s="40" t="s">
        <v>24</v>
      </c>
      <c r="V242" s="80"/>
      <c r="W242" s="40" t="s">
        <v>1697</v>
      </c>
      <c r="X242" s="40">
        <v>981189900020626</v>
      </c>
      <c r="Y242" s="40" t="s">
        <v>370</v>
      </c>
      <c r="Z242" s="41" t="s">
        <v>371</v>
      </c>
      <c r="AA242" s="40" t="s">
        <v>372</v>
      </c>
      <c r="AB242" s="40" t="s">
        <v>373</v>
      </c>
      <c r="AC242" s="40" t="s">
        <v>1698</v>
      </c>
      <c r="AD242" s="40" t="s">
        <v>1633</v>
      </c>
      <c r="AE242" s="80"/>
      <c r="AF242" s="80"/>
      <c r="AG242" s="82" t="str">
        <f>HYPERLINK("https://drive.google.com/open?id=1XS-vdzWb7sOQWrLXDv4jNQrLfekapQGv","Potvrzeni_o_platbe_RBCZ_20210721_0000.pdf")</f>
        <v>Potvrzeni_o_platbe_RBCZ_20210721_0000.pdf</v>
      </c>
      <c r="AH242" s="82" t="str">
        <f>HYPERLINK("https://drive.google.com/open?id=1IGzn8H1OlkHthNVsvkR3Q3plbCaIlvq7","IMG_20210721_110127_edit_1273297867576534.jpg")</f>
        <v>IMG_20210721_110127_edit_1273297867576534.jpg</v>
      </c>
      <c r="AI242" s="80"/>
      <c r="AJ242" s="82" t="str">
        <f>HYPERLINK("https://drive.google.com/open?id=1hb7-yUPILMVS5f57ruZbs7O7fKsYj7zi","IMG_20210721_110127_edit_1273297867576534.jpg")</f>
        <v>IMG_20210721_110127_edit_1273297867576534.jpg</v>
      </c>
      <c r="AK242" s="82" t="str">
        <f>HYPERLINK("https://drive.google.com/open?id=1n0VYZaBf2feYRkzWsP4E0W8ydCslnlCD","IMG_20210721_110117.jpg")</f>
        <v>IMG_20210721_110117.jpg</v>
      </c>
      <c r="AL242" s="82" t="str">
        <f>HYPERLINK("https://drive.google.com/open?id=1WsK3R4kvR4GgZyso49PcIeehG2l1GVCJ","Potvrzeni_o_platbe_RBCZ_20201030_0000.pdf")</f>
        <v>Potvrzeni_o_platbe_RBCZ_20201030_0000.pdf</v>
      </c>
      <c r="AM242" s="40" t="s">
        <v>4</v>
      </c>
      <c r="AN242" s="80"/>
      <c r="AO242" s="40" t="s">
        <v>374</v>
      </c>
      <c r="AP242" s="40" t="s">
        <v>113</v>
      </c>
      <c r="AQ242" s="40" t="s">
        <v>955</v>
      </c>
      <c r="AR242" s="80"/>
      <c r="AS242" s="80"/>
      <c r="AT242" s="80"/>
      <c r="AU242" s="40"/>
      <c r="AV242" s="83"/>
      <c r="AW242" s="83"/>
      <c r="AX242" s="83"/>
      <c r="AY242" s="83"/>
      <c r="AZ242" s="83"/>
      <c r="BA242" s="83"/>
      <c r="BB242" s="83"/>
      <c r="BC242" s="83"/>
      <c r="BD242" s="83"/>
      <c r="BE242" s="83"/>
      <c r="BF242" s="83"/>
      <c r="BG242" s="83"/>
      <c r="BH242" s="40"/>
      <c r="BI242" s="40"/>
      <c r="BJ242" s="40"/>
      <c r="BK242" s="40"/>
      <c r="BL242" s="40"/>
    </row>
    <row r="243" spans="1:64" ht="23.25" customHeight="1">
      <c r="A243" s="42">
        <v>123</v>
      </c>
      <c r="B243" s="39">
        <v>69</v>
      </c>
      <c r="C243" s="44">
        <v>169</v>
      </c>
      <c r="D243" s="44">
        <f t="shared" si="3"/>
        <v>69</v>
      </c>
      <c r="E243" s="44"/>
      <c r="F243" s="44"/>
      <c r="G243" s="44"/>
      <c r="H243" s="44"/>
      <c r="I243" s="44"/>
      <c r="J243" s="45"/>
      <c r="K243" s="44"/>
      <c r="L243" s="44"/>
      <c r="M243" s="44"/>
      <c r="N243" s="44"/>
      <c r="O243" s="44"/>
      <c r="P243" s="44"/>
      <c r="Q243" s="45"/>
      <c r="R243" s="44" t="s">
        <v>964</v>
      </c>
      <c r="S243" s="44" t="s">
        <v>965</v>
      </c>
      <c r="T243" s="44" t="s">
        <v>5</v>
      </c>
      <c r="U243" s="44" t="s">
        <v>24</v>
      </c>
      <c r="V243" s="45"/>
      <c r="W243" s="44" t="s">
        <v>1699</v>
      </c>
      <c r="X243" s="44">
        <v>22804</v>
      </c>
      <c r="Y243" s="44" t="s">
        <v>966</v>
      </c>
      <c r="Z243" s="46" t="s">
        <v>967</v>
      </c>
      <c r="AA243" s="44" t="s">
        <v>968</v>
      </c>
      <c r="AB243" s="44" t="s">
        <v>969</v>
      </c>
      <c r="AC243" s="44" t="s">
        <v>1431</v>
      </c>
      <c r="AD243" s="44" t="s">
        <v>1700</v>
      </c>
      <c r="AE243" s="45"/>
      <c r="AF243" s="45"/>
      <c r="AG243" s="68" t="str">
        <f>HYPERLINK("https://drive.google.com/open?id=1xjK70jW6oye8QLpwmsypXSb-2PvJRStU","CZ8708000000004021967083_2000006785904464.pdf")</f>
        <v>CZ8708000000004021967083_2000006785904464.pdf</v>
      </c>
      <c r="AH243" s="45"/>
      <c r="AI243" s="68" t="str">
        <f>HYPERLINK("https://drive.google.com/open?id=1Xai7UgRRPjjIis1StvrcjKTNY9__Wq4f","Labo ZK.pdf")</f>
        <v>Labo ZK.pdf</v>
      </c>
      <c r="AJ243" s="68" t="str">
        <f>HYPERLINK("https://drive.google.com/open?id=1LNquwzr4IDxTf7nguSD9P74vmXRP42rm","Labo PP.pdf")</f>
        <v>Labo PP.pdf</v>
      </c>
      <c r="AK243" s="68" t="str">
        <f>HYPERLINK("https://drive.google.com/open?id=1OzTPFYmnLzRIQg9ud1HnrIy3_NfGTgPT","ČKNO.pdf")</f>
        <v>ČKNO.pdf</v>
      </c>
      <c r="AL243" s="45"/>
      <c r="AM243" s="44" t="s">
        <v>4</v>
      </c>
      <c r="AN243" s="45"/>
      <c r="AO243" s="44" t="s">
        <v>1701</v>
      </c>
      <c r="AP243" s="44" t="s">
        <v>25</v>
      </c>
      <c r="AQ243" s="44" t="s">
        <v>25</v>
      </c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</row>
    <row r="244" spans="1:64" ht="23.25" customHeight="1">
      <c r="A244" s="31">
        <v>142</v>
      </c>
      <c r="B244" s="32">
        <v>70</v>
      </c>
      <c r="C244" s="48">
        <v>170</v>
      </c>
      <c r="D244" s="48">
        <f t="shared" si="3"/>
        <v>70</v>
      </c>
      <c r="E244" s="48"/>
      <c r="F244" s="48"/>
      <c r="G244" s="48"/>
      <c r="H244" s="48"/>
      <c r="I244" s="48"/>
      <c r="J244" s="51"/>
      <c r="K244" s="48"/>
      <c r="L244" s="48"/>
      <c r="M244" s="48"/>
      <c r="N244" s="48"/>
      <c r="O244" s="48"/>
      <c r="P244" s="48"/>
      <c r="Q244" s="51"/>
      <c r="R244" s="48" t="s">
        <v>1702</v>
      </c>
      <c r="S244" s="48" t="s">
        <v>1653</v>
      </c>
      <c r="T244" s="48" t="s">
        <v>5</v>
      </c>
      <c r="U244" s="48" t="s">
        <v>24</v>
      </c>
      <c r="V244" s="51"/>
      <c r="W244" s="48" t="s">
        <v>1703</v>
      </c>
      <c r="X244" s="48">
        <v>972270000286653</v>
      </c>
      <c r="Y244" s="48" t="s">
        <v>1108</v>
      </c>
      <c r="Z244" s="52" t="s">
        <v>1109</v>
      </c>
      <c r="AA244" s="48" t="s">
        <v>1110</v>
      </c>
      <c r="AB244" s="48" t="s">
        <v>1111</v>
      </c>
      <c r="AC244" s="48" t="s">
        <v>1655</v>
      </c>
      <c r="AD244" s="48" t="s">
        <v>1704</v>
      </c>
      <c r="AE244" s="51"/>
      <c r="AF244" s="55" t="str">
        <f>HYPERLINK("https://drive.google.com/open?id=1yheUifugEwEN8XytEJNqd8eJQLiY2Xe8","Morpheus Anrebri email.jpg")</f>
        <v>Morpheus Anrebri email.jpg</v>
      </c>
      <c r="AG244" s="55" t="str">
        <f>HYPERLINK("https://drive.google.com/open?id=1PAVLU_-Hxi4KkR4XnkPbLWU_ou8cLmv7","Potvrzeni_platby (2).PDF")</f>
        <v>Potvrzeni_platby (2).PDF</v>
      </c>
      <c r="AH244" s="51"/>
      <c r="AI244" s="51"/>
      <c r="AJ244" s="55" t="str">
        <f>HYPERLINK("https://drive.google.com/open?id=1O_Zt9azJAZ93SH5NoTNYSj8BBhrmbsOr","M PP 4.jpg")</f>
        <v>M PP 4.jpg</v>
      </c>
      <c r="AK244" s="55" t="str">
        <f>HYPERLINK("https://drive.google.com/open?id=190GUwC0sJogc0wTbMpCPzJDe81cyUnuo","M PP 3.jpg")</f>
        <v>M PP 3.jpg</v>
      </c>
      <c r="AL244" s="55" t="str">
        <f>HYPERLINK("https://drive.google.com/open?id=1dVxMwLYU4r9oaZB-6vNyLK75zb1tIoN9","M PP 2.jpg")</f>
        <v>M PP 2.jpg</v>
      </c>
      <c r="AM244" s="48" t="s">
        <v>4</v>
      </c>
      <c r="AN244" s="51"/>
      <c r="AO244" s="48" t="s">
        <v>1112</v>
      </c>
      <c r="AP244" s="48" t="s">
        <v>112</v>
      </c>
      <c r="AQ244" s="48" t="s">
        <v>25</v>
      </c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</row>
    <row r="245" spans="1:64" ht="23.25" customHeight="1">
      <c r="A245" s="31">
        <v>107</v>
      </c>
      <c r="B245" s="32">
        <v>71</v>
      </c>
      <c r="C245" s="48">
        <v>171</v>
      </c>
      <c r="D245" s="48">
        <f t="shared" si="3"/>
        <v>71</v>
      </c>
      <c r="E245" s="48"/>
      <c r="F245" s="48"/>
      <c r="G245" s="48"/>
      <c r="H245" s="48"/>
      <c r="I245" s="48"/>
      <c r="J245" s="51"/>
      <c r="K245" s="48"/>
      <c r="L245" s="48"/>
      <c r="M245" s="48"/>
      <c r="N245" s="48"/>
      <c r="O245" s="48"/>
      <c r="P245" s="48"/>
      <c r="Q245" s="51"/>
      <c r="R245" s="48" t="s">
        <v>835</v>
      </c>
      <c r="S245" s="48" t="s">
        <v>200</v>
      </c>
      <c r="T245" s="48" t="s">
        <v>5</v>
      </c>
      <c r="U245" s="48" t="s">
        <v>255</v>
      </c>
      <c r="V245" s="51"/>
      <c r="W245" s="48" t="s">
        <v>1705</v>
      </c>
      <c r="X245" s="48">
        <v>43071</v>
      </c>
      <c r="Y245" s="48" t="s">
        <v>836</v>
      </c>
      <c r="Z245" s="52" t="s">
        <v>122</v>
      </c>
      <c r="AA245" s="48" t="s">
        <v>837</v>
      </c>
      <c r="AB245" s="48" t="s">
        <v>838</v>
      </c>
      <c r="AC245" s="48" t="s">
        <v>1495</v>
      </c>
      <c r="AD245" s="48" t="s">
        <v>1495</v>
      </c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48" t="s">
        <v>839</v>
      </c>
      <c r="AP245" s="48" t="s">
        <v>25</v>
      </c>
      <c r="AQ245" s="48" t="s">
        <v>25</v>
      </c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51"/>
      <c r="BH245" s="51"/>
      <c r="BI245" s="51"/>
      <c r="BJ245" s="51"/>
      <c r="BK245" s="51"/>
      <c r="BL245" s="51"/>
    </row>
    <row r="246" spans="1:64" ht="12.75">
      <c r="A246" s="27"/>
      <c r="B246" s="27"/>
      <c r="C246" s="28"/>
      <c r="D246" s="28">
        <f t="shared" si="3"/>
        <v>0</v>
      </c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</row>
    <row r="247" spans="1:64" ht="12.75">
      <c r="A247" s="27"/>
      <c r="B247" s="27"/>
      <c r="C247" s="28"/>
      <c r="D247" s="28">
        <f t="shared" si="3"/>
        <v>0</v>
      </c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</row>
    <row r="248" spans="1:64" ht="12.75">
      <c r="A248" s="27"/>
      <c r="B248" s="27"/>
      <c r="C248" s="28"/>
      <c r="D248" s="28">
        <f t="shared" si="3"/>
        <v>0</v>
      </c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</row>
    <row r="249" spans="1:64" ht="12.75">
      <c r="A249" s="27"/>
      <c r="B249" s="27"/>
      <c r="C249" s="28"/>
      <c r="D249" s="28">
        <f t="shared" si="3"/>
        <v>0</v>
      </c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</row>
    <row r="250" spans="1:64" ht="12.75">
      <c r="A250" s="29" t="s">
        <v>1706</v>
      </c>
      <c r="B250" s="29"/>
      <c r="C250" s="30"/>
      <c r="D250" s="29">
        <f t="shared" si="3"/>
        <v>0</v>
      </c>
      <c r="E250" s="29">
        <v>1</v>
      </c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</row>
    <row r="251" spans="1:64" ht="23.25" customHeight="1">
      <c r="A251" s="31">
        <v>153</v>
      </c>
      <c r="B251" s="32">
        <v>72</v>
      </c>
      <c r="C251" s="48">
        <v>172</v>
      </c>
      <c r="D251" s="48">
        <f t="shared" si="3"/>
        <v>72</v>
      </c>
      <c r="E251" s="48"/>
      <c r="F251" s="48"/>
      <c r="G251" s="48"/>
      <c r="H251" s="48"/>
      <c r="I251" s="48"/>
      <c r="J251" s="51"/>
      <c r="K251" s="48"/>
      <c r="L251" s="48"/>
      <c r="M251" s="48"/>
      <c r="N251" s="51"/>
      <c r="O251" s="48"/>
      <c r="P251" s="51"/>
      <c r="Q251" s="51"/>
      <c r="R251" s="48" t="s">
        <v>1178</v>
      </c>
      <c r="S251" s="48" t="s">
        <v>1179</v>
      </c>
      <c r="T251" s="48" t="s">
        <v>5</v>
      </c>
      <c r="U251" s="48" t="s">
        <v>704</v>
      </c>
      <c r="V251" s="51"/>
      <c r="W251" s="48" t="s">
        <v>1707</v>
      </c>
      <c r="X251" s="48" t="s">
        <v>1180</v>
      </c>
      <c r="Y251" s="48" t="s">
        <v>127</v>
      </c>
      <c r="Z251" s="52" t="s">
        <v>359</v>
      </c>
      <c r="AA251" s="48" t="s">
        <v>1181</v>
      </c>
      <c r="AB251" s="48" t="s">
        <v>1182</v>
      </c>
      <c r="AC251" s="48" t="s">
        <v>1183</v>
      </c>
      <c r="AD251" s="48" t="s">
        <v>1184</v>
      </c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48" t="s">
        <v>1185</v>
      </c>
      <c r="AP251" s="184">
        <v>44197</v>
      </c>
      <c r="AQ251" s="48" t="s">
        <v>25</v>
      </c>
      <c r="AR251" s="5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  <c r="BC251" s="51"/>
      <c r="BD251" s="51"/>
      <c r="BE251" s="51"/>
      <c r="BF251" s="51"/>
      <c r="BG251" s="51"/>
      <c r="BH251" s="51"/>
      <c r="BI251" s="51"/>
      <c r="BJ251" s="51"/>
      <c r="BK251" s="51"/>
      <c r="BL251" s="51"/>
    </row>
    <row r="252" spans="1:64" ht="12.75">
      <c r="A252" s="27"/>
      <c r="B252" s="27"/>
      <c r="C252" s="28"/>
      <c r="D252" s="28">
        <f t="shared" si="3"/>
        <v>0</v>
      </c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</row>
    <row r="253" spans="1:64" ht="12.75">
      <c r="A253" s="27"/>
      <c r="B253" s="27"/>
      <c r="C253" s="28"/>
      <c r="D253" s="28">
        <f t="shared" si="3"/>
        <v>0</v>
      </c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</row>
    <row r="254" spans="1:64" ht="12.75">
      <c r="A254" s="27"/>
      <c r="B254" s="27"/>
      <c r="C254" s="28"/>
      <c r="D254" s="28">
        <f t="shared" si="3"/>
        <v>0</v>
      </c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</row>
    <row r="255" spans="1:64" ht="12.75">
      <c r="A255" s="27"/>
      <c r="B255" s="27"/>
      <c r="C255" s="28"/>
      <c r="D255" s="28">
        <f t="shared" si="3"/>
        <v>0</v>
      </c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</row>
    <row r="256" spans="1:64" ht="12.75">
      <c r="A256" s="27"/>
      <c r="B256" s="27"/>
      <c r="C256" s="28"/>
      <c r="D256" s="28">
        <f t="shared" si="3"/>
        <v>0</v>
      </c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</row>
    <row r="257" spans="1:64" ht="12.75">
      <c r="A257" s="27"/>
      <c r="B257" s="27"/>
      <c r="C257" s="28"/>
      <c r="D257" s="28">
        <f t="shared" si="3"/>
        <v>0</v>
      </c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</row>
    <row r="258" spans="1:64" ht="12.75">
      <c r="A258" s="29" t="s">
        <v>1708</v>
      </c>
      <c r="B258" s="29"/>
      <c r="C258" s="30"/>
      <c r="D258" s="30">
        <f t="shared" si="3"/>
        <v>0</v>
      </c>
      <c r="E258" s="30">
        <f>SUM(C259:C263)</f>
        <v>698</v>
      </c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</row>
    <row r="259" spans="1:64" ht="23.25" customHeight="1">
      <c r="A259" s="85">
        <v>64</v>
      </c>
      <c r="B259" s="63">
        <v>101</v>
      </c>
      <c r="C259" s="64">
        <v>173</v>
      </c>
      <c r="D259" s="64">
        <f t="shared" si="3"/>
        <v>101</v>
      </c>
      <c r="E259" s="64"/>
      <c r="F259" s="64"/>
      <c r="G259" s="64"/>
      <c r="H259" s="64"/>
      <c r="I259" s="90"/>
      <c r="J259" s="86"/>
      <c r="K259" s="64"/>
      <c r="L259" s="64"/>
      <c r="M259" s="64"/>
      <c r="N259" s="64"/>
      <c r="O259" s="64"/>
      <c r="P259" s="64"/>
      <c r="Q259" s="86"/>
      <c r="R259" s="64" t="s">
        <v>569</v>
      </c>
      <c r="S259" s="64" t="s">
        <v>570</v>
      </c>
      <c r="T259" s="64" t="s">
        <v>2</v>
      </c>
      <c r="U259" s="64" t="s">
        <v>24</v>
      </c>
      <c r="V259" s="86"/>
      <c r="W259" s="64" t="s">
        <v>1709</v>
      </c>
      <c r="X259" s="64">
        <v>67624</v>
      </c>
      <c r="Y259" s="64" t="s">
        <v>571</v>
      </c>
      <c r="Z259" s="65" t="s">
        <v>122</v>
      </c>
      <c r="AA259" s="64" t="s">
        <v>572</v>
      </c>
      <c r="AB259" s="64" t="s">
        <v>573</v>
      </c>
      <c r="AC259" s="64" t="s">
        <v>1710</v>
      </c>
      <c r="AD259" s="64" t="s">
        <v>1711</v>
      </c>
      <c r="AE259" s="86"/>
      <c r="AF259" s="86"/>
      <c r="AG259" s="87" t="str">
        <f>HYPERLINK("https://drive.google.com/open?id=11PUmxfUL_JEkH06tUdkxYk6FY8ySLW1v","Poplatek.pdf")</f>
        <v>Poplatek.pdf</v>
      </c>
      <c r="AH259" s="86"/>
      <c r="AI259" s="86"/>
      <c r="AJ259" s="87" t="str">
        <f>HYPERLINK("https://drive.google.com/open?id=1gECd1iCuJm4M3KoxH9M1amYK5EC2nw9T","IMG_20210725_161150_resized_20210725_041243474.jpg")</f>
        <v>IMG_20210725_161150_resized_20210725_041243474.jpg</v>
      </c>
      <c r="AK259" s="87" t="str">
        <f>HYPERLINK("https://drive.google.com/open?id=1qdgL6W2_hgTm6-he0UYHoZfQc2Ndp46a","IMG_20210725_161157_resized_20210725_041245431.jpg")</f>
        <v>IMG_20210725_161157_resized_20210725_041245431.jpg</v>
      </c>
      <c r="AL259" s="87" t="str">
        <f>HYPERLINK("https://drive.google.com/open?id=1St-m7TtC0ZOHCe7qhLOoJyC9A1p9Gp5u","IMG_20210725_161008_resized_20210725_041052570.jpg")</f>
        <v>IMG_20210725_161008_resized_20210725_041052570.jpg</v>
      </c>
      <c r="AM259" s="64" t="s">
        <v>4</v>
      </c>
      <c r="AN259" s="86"/>
      <c r="AO259" s="64" t="s">
        <v>574</v>
      </c>
      <c r="AP259" s="64" t="s">
        <v>25</v>
      </c>
      <c r="AQ259" s="64" t="s">
        <v>25</v>
      </c>
      <c r="AR259" s="86"/>
      <c r="AS259" s="86"/>
      <c r="AT259" s="86"/>
      <c r="AU259" s="88"/>
      <c r="AV259" s="88"/>
      <c r="AW259" s="88"/>
      <c r="AX259" s="88"/>
      <c r="AY259" s="88"/>
      <c r="AZ259" s="88"/>
      <c r="BA259" s="88"/>
      <c r="BB259" s="88"/>
      <c r="BC259" s="88"/>
      <c r="BD259" s="88"/>
      <c r="BE259" s="88"/>
      <c r="BF259" s="88"/>
      <c r="BG259" s="88"/>
      <c r="BH259" s="64"/>
      <c r="BI259" s="89"/>
      <c r="BJ259" s="89"/>
      <c r="BK259" s="89"/>
      <c r="BL259" s="89"/>
    </row>
    <row r="260" spans="1:64" ht="23.25" customHeight="1">
      <c r="A260" s="42">
        <v>128</v>
      </c>
      <c r="B260" s="67">
        <v>102</v>
      </c>
      <c r="C260" s="44">
        <v>174</v>
      </c>
      <c r="D260" s="44">
        <f t="shared" ref="D260:D283" si="4">B260</f>
        <v>102</v>
      </c>
      <c r="E260" s="44"/>
      <c r="F260" s="44"/>
      <c r="G260" s="44"/>
      <c r="H260" s="44"/>
      <c r="I260" s="44"/>
      <c r="J260" s="45"/>
      <c r="K260" s="44"/>
      <c r="L260" s="44"/>
      <c r="M260" s="44"/>
      <c r="N260" s="44"/>
      <c r="O260" s="44"/>
      <c r="P260" s="44"/>
      <c r="Q260" s="45"/>
      <c r="R260" s="44" t="s">
        <v>1004</v>
      </c>
      <c r="S260" s="44" t="s">
        <v>1005</v>
      </c>
      <c r="T260" s="44" t="s">
        <v>2</v>
      </c>
      <c r="U260" s="44" t="s">
        <v>255</v>
      </c>
      <c r="V260" s="45"/>
      <c r="W260" s="44" t="s">
        <v>1712</v>
      </c>
      <c r="X260" s="44" t="s">
        <v>1006</v>
      </c>
      <c r="Y260" s="44" t="s">
        <v>1007</v>
      </c>
      <c r="Z260" s="46" t="s">
        <v>122</v>
      </c>
      <c r="AA260" s="44" t="s">
        <v>1008</v>
      </c>
      <c r="AB260" s="44" t="s">
        <v>838</v>
      </c>
      <c r="AC260" s="44" t="s">
        <v>1713</v>
      </c>
      <c r="AD260" s="44" t="s">
        <v>1714</v>
      </c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4" t="s">
        <v>1009</v>
      </c>
      <c r="AP260" s="44" t="s">
        <v>25</v>
      </c>
      <c r="AQ260" s="44" t="s">
        <v>25</v>
      </c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</row>
    <row r="261" spans="1:64" ht="23.25" customHeight="1">
      <c r="A261" s="31">
        <v>143</v>
      </c>
      <c r="B261" s="63">
        <v>103</v>
      </c>
      <c r="C261" s="48">
        <v>175</v>
      </c>
      <c r="D261" s="48">
        <f t="shared" si="4"/>
        <v>103</v>
      </c>
      <c r="E261" s="48"/>
      <c r="F261" s="48"/>
      <c r="G261" s="48"/>
      <c r="H261" s="48"/>
      <c r="I261" s="54"/>
      <c r="J261" s="51"/>
      <c r="K261" s="48"/>
      <c r="L261" s="48"/>
      <c r="M261" s="48"/>
      <c r="N261" s="48"/>
      <c r="O261" s="48"/>
      <c r="P261" s="48"/>
      <c r="Q261" s="51"/>
      <c r="R261" s="48" t="s">
        <v>1113</v>
      </c>
      <c r="S261" s="48" t="s">
        <v>1073</v>
      </c>
      <c r="T261" s="48" t="s">
        <v>2</v>
      </c>
      <c r="U261" s="48" t="s">
        <v>24</v>
      </c>
      <c r="V261" s="51"/>
      <c r="W261" s="48" t="s">
        <v>1715</v>
      </c>
      <c r="X261" s="48">
        <v>20555</v>
      </c>
      <c r="Y261" s="48" t="s">
        <v>1114</v>
      </c>
      <c r="Z261" s="52" t="s">
        <v>122</v>
      </c>
      <c r="AA261" s="48" t="s">
        <v>1103</v>
      </c>
      <c r="AB261" s="48" t="s">
        <v>1115</v>
      </c>
      <c r="AC261" s="48" t="s">
        <v>1173</v>
      </c>
      <c r="AD261" s="48" t="s">
        <v>1173</v>
      </c>
      <c r="AE261" s="51"/>
      <c r="AF261" s="51"/>
      <c r="AG261" s="55" t="str">
        <f>HYPERLINK("https://drive.google.com/open?id=1QzrqxKsF_6nH0RTZjUUDDdT_xcSdWd5C","Transakce_2000006828944121.pdf")</f>
        <v>Transakce_2000006828944121.pdf</v>
      </c>
      <c r="AH261" s="51"/>
      <c r="AI261" s="55" t="str">
        <f>HYPERLINK("https://drive.google.com/open?id=1czwkYFGR4VkeuGLke2ZtEmfIVelQoglU","Daf (2).jpg")</f>
        <v>Daf (2).jpg</v>
      </c>
      <c r="AJ261" s="55" t="str">
        <f>HYPERLINK("https://drive.google.com/open?id=1FCNkjbmq_B8KOV72QC2Ymnz3wf3IECPo","Dafnie.jpg")</f>
        <v>Dafnie.jpg</v>
      </c>
      <c r="AK261" s="55" t="str">
        <f>HYPERLINK("https://drive.google.com/open?id=1PDl4CI5F19r2IWzpUEvzIbdTbOvUQQdy","Daf.jpg")</f>
        <v>Daf.jpg</v>
      </c>
      <c r="AL261" s="51"/>
      <c r="AM261" s="48" t="s">
        <v>4</v>
      </c>
      <c r="AN261" s="51"/>
      <c r="AO261" s="48" t="s">
        <v>1116</v>
      </c>
      <c r="AP261" s="48" t="s">
        <v>25</v>
      </c>
      <c r="AQ261" s="48" t="s">
        <v>25</v>
      </c>
      <c r="AR261" s="5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  <c r="BC261" s="51"/>
      <c r="BD261" s="51"/>
      <c r="BE261" s="51"/>
      <c r="BF261" s="51"/>
      <c r="BG261" s="51"/>
      <c r="BH261" s="51"/>
      <c r="BI261" s="51"/>
      <c r="BJ261" s="51"/>
      <c r="BK261" s="51"/>
      <c r="BL261" s="51"/>
    </row>
    <row r="262" spans="1:64" ht="23.25" customHeight="1">
      <c r="A262" s="62">
        <v>11</v>
      </c>
      <c r="B262" s="63">
        <v>104</v>
      </c>
      <c r="C262" s="64">
        <v>176</v>
      </c>
      <c r="D262" s="64">
        <f t="shared" si="4"/>
        <v>104</v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 t="s">
        <v>150</v>
      </c>
      <c r="S262" s="64" t="s">
        <v>151</v>
      </c>
      <c r="T262" s="64" t="s">
        <v>2</v>
      </c>
      <c r="U262" s="64" t="s">
        <v>152</v>
      </c>
      <c r="V262" s="64"/>
      <c r="W262" s="64" t="s">
        <v>1716</v>
      </c>
      <c r="X262" s="64">
        <v>248058</v>
      </c>
      <c r="Y262" s="64" t="s">
        <v>153</v>
      </c>
      <c r="Z262" s="65" t="s">
        <v>154</v>
      </c>
      <c r="AA262" s="64" t="s">
        <v>155</v>
      </c>
      <c r="AB262" s="64" t="s">
        <v>156</v>
      </c>
      <c r="AC262" s="64" t="s">
        <v>1717</v>
      </c>
      <c r="AD262" s="64" t="s">
        <v>1717</v>
      </c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 t="s">
        <v>157</v>
      </c>
      <c r="AP262" s="64" t="s">
        <v>25</v>
      </c>
      <c r="AQ262" s="64" t="s">
        <v>25</v>
      </c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</row>
    <row r="263" spans="1:64" ht="12.75">
      <c r="A263" s="27"/>
      <c r="B263" s="27"/>
      <c r="C263" s="28"/>
      <c r="D263" s="28">
        <f t="shared" si="4"/>
        <v>0</v>
      </c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</row>
    <row r="264" spans="1:64" ht="12.75">
      <c r="A264" s="29" t="s">
        <v>1718</v>
      </c>
      <c r="B264" s="29"/>
      <c r="C264" s="30"/>
      <c r="D264" s="30">
        <f t="shared" si="4"/>
        <v>0</v>
      </c>
      <c r="E264" s="30">
        <f>SUM(C265:C268)</f>
        <v>177</v>
      </c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</row>
    <row r="265" spans="1:64" ht="23.25" customHeight="1">
      <c r="A265" s="31">
        <v>154</v>
      </c>
      <c r="B265" s="63">
        <v>105</v>
      </c>
      <c r="C265" s="48">
        <v>177</v>
      </c>
      <c r="D265" s="48">
        <f t="shared" si="4"/>
        <v>105</v>
      </c>
      <c r="E265" s="48"/>
      <c r="F265" s="48"/>
      <c r="G265" s="48"/>
      <c r="H265" s="48"/>
      <c r="I265" s="48"/>
      <c r="J265" s="51"/>
      <c r="K265" s="48"/>
      <c r="L265" s="48"/>
      <c r="M265" s="48"/>
      <c r="N265" s="51"/>
      <c r="O265" s="48"/>
      <c r="P265" s="51"/>
      <c r="Q265" s="51"/>
      <c r="R265" s="48" t="s">
        <v>1186</v>
      </c>
      <c r="S265" s="48" t="s">
        <v>1179</v>
      </c>
      <c r="T265" s="48"/>
      <c r="U265" s="48"/>
      <c r="V265" s="51"/>
      <c r="W265" s="48"/>
      <c r="X265" s="48"/>
      <c r="Y265" s="48"/>
      <c r="Z265" s="52"/>
      <c r="AA265" s="48"/>
      <c r="AB265" s="48"/>
      <c r="AC265" s="48"/>
      <c r="AD265" s="48" t="s">
        <v>1184</v>
      </c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48" t="s">
        <v>1188</v>
      </c>
      <c r="AP265" s="48" t="s">
        <v>25</v>
      </c>
      <c r="AQ265" s="48" t="s">
        <v>25</v>
      </c>
      <c r="AR265" s="5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  <c r="BC265" s="51"/>
      <c r="BD265" s="51"/>
      <c r="BE265" s="51"/>
      <c r="BF265" s="51"/>
      <c r="BG265" s="51"/>
      <c r="BH265" s="51"/>
      <c r="BI265" s="51"/>
      <c r="BJ265" s="51"/>
      <c r="BK265" s="51"/>
      <c r="BL265" s="51"/>
    </row>
    <row r="266" spans="1:64" ht="12.75">
      <c r="A266" s="26"/>
      <c r="B266" s="26"/>
      <c r="C266" s="28"/>
      <c r="D266" s="28">
        <f t="shared" si="4"/>
        <v>0</v>
      </c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</row>
    <row r="267" spans="1:64" ht="12.75">
      <c r="A267" s="26"/>
      <c r="B267" s="26"/>
      <c r="C267" s="28"/>
      <c r="D267" s="28">
        <f t="shared" si="4"/>
        <v>0</v>
      </c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</row>
    <row r="268" spans="1:64" ht="12.75">
      <c r="A268" s="26"/>
      <c r="B268" s="26"/>
      <c r="C268" s="28"/>
      <c r="D268" s="28">
        <f t="shared" si="4"/>
        <v>0</v>
      </c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</row>
    <row r="269" spans="1:64" ht="12.75">
      <c r="A269" s="26"/>
      <c r="B269" s="26"/>
      <c r="C269" s="28"/>
      <c r="D269" s="28">
        <f t="shared" si="4"/>
        <v>0</v>
      </c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</row>
    <row r="270" spans="1:64" ht="12.75">
      <c r="A270" s="28"/>
      <c r="B270" s="28"/>
      <c r="C270" s="28"/>
      <c r="D270" s="28">
        <f t="shared" si="4"/>
        <v>0</v>
      </c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</row>
    <row r="271" spans="1:64" ht="12.75">
      <c r="A271" s="26"/>
      <c r="B271" s="26"/>
      <c r="C271" s="28"/>
      <c r="D271" s="28">
        <f t="shared" si="4"/>
        <v>0</v>
      </c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</row>
    <row r="272" spans="1:64" ht="12.75">
      <c r="A272" s="28"/>
      <c r="B272" s="28"/>
      <c r="C272" s="28"/>
      <c r="D272" s="28">
        <f t="shared" si="4"/>
        <v>0</v>
      </c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</row>
    <row r="273" spans="1:64" ht="12.75">
      <c r="A273" s="28"/>
      <c r="B273" s="28"/>
      <c r="C273" s="28"/>
      <c r="D273" s="28">
        <f t="shared" si="4"/>
        <v>0</v>
      </c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</row>
    <row r="274" spans="1:64" ht="12.75">
      <c r="A274" s="28"/>
      <c r="B274" s="28"/>
      <c r="C274" s="28"/>
      <c r="D274" s="28">
        <f t="shared" si="4"/>
        <v>0</v>
      </c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</row>
    <row r="275" spans="1:64" ht="12.75">
      <c r="A275" s="28"/>
      <c r="B275" s="28"/>
      <c r="C275" s="28"/>
      <c r="D275" s="28">
        <f t="shared" si="4"/>
        <v>0</v>
      </c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</row>
    <row r="276" spans="1:64" ht="12.75">
      <c r="A276" s="28"/>
      <c r="B276" s="28"/>
      <c r="C276" s="28"/>
      <c r="D276" s="28">
        <f t="shared" si="4"/>
        <v>0</v>
      </c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</row>
    <row r="277" spans="1:64" ht="12.75">
      <c r="A277" s="28"/>
      <c r="B277" s="28"/>
      <c r="C277" s="28"/>
      <c r="D277" s="28">
        <f t="shared" si="4"/>
        <v>0</v>
      </c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</row>
    <row r="278" spans="1:64" ht="12.75">
      <c r="A278" s="28"/>
      <c r="B278" s="28"/>
      <c r="C278" s="28"/>
      <c r="D278" s="28">
        <f t="shared" si="4"/>
        <v>0</v>
      </c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</row>
    <row r="279" spans="1:64" ht="12.75">
      <c r="A279" s="28"/>
      <c r="B279" s="28"/>
      <c r="C279" s="28"/>
      <c r="D279" s="28">
        <f t="shared" si="4"/>
        <v>0</v>
      </c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</row>
    <row r="280" spans="1:64" ht="12.75">
      <c r="A280" s="28"/>
      <c r="B280" s="28"/>
      <c r="C280" s="28"/>
      <c r="D280" s="28">
        <f t="shared" si="4"/>
        <v>0</v>
      </c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</row>
    <row r="281" spans="1:64" ht="12.75">
      <c r="A281" s="28"/>
      <c r="B281" s="28"/>
      <c r="C281" s="28"/>
      <c r="D281" s="28">
        <f t="shared" si="4"/>
        <v>0</v>
      </c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</row>
    <row r="282" spans="1:64" ht="12.75">
      <c r="A282" s="28"/>
      <c r="B282" s="28"/>
      <c r="C282" s="28"/>
      <c r="D282" s="28">
        <f t="shared" si="4"/>
        <v>0</v>
      </c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</row>
    <row r="283" spans="1:64" ht="12.75">
      <c r="A283" s="28"/>
      <c r="B283" s="28"/>
      <c r="C283" s="28"/>
      <c r="D283" s="28">
        <f t="shared" si="4"/>
        <v>0</v>
      </c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</row>
    <row r="284" spans="1:64" ht="12.7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</row>
    <row r="285" spans="1:64" ht="12.7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</row>
    <row r="286" spans="1:64" ht="12.7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</row>
    <row r="287" spans="1:64" ht="12.7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</row>
    <row r="288" spans="1:64" ht="12.7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</row>
    <row r="289" spans="1:64" ht="12.7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</row>
    <row r="290" spans="1:64" ht="12.7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</row>
    <row r="291" spans="1:64" ht="12.7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</row>
    <row r="292" spans="1:64" ht="12.7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</row>
    <row r="293" spans="1:64" ht="12.7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</row>
    <row r="294" spans="1:64" ht="12.7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</row>
    <row r="295" spans="1:64" ht="12.7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</row>
    <row r="296" spans="1:64" ht="12.7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</row>
    <row r="297" spans="1:64" ht="12.7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</row>
    <row r="298" spans="1:64" ht="12.7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</row>
    <row r="299" spans="1:64" ht="12.7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</row>
    <row r="300" spans="1:64" ht="12.7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</row>
    <row r="301" spans="1:64" ht="12.7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</row>
    <row r="302" spans="1:64" ht="12.7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</row>
    <row r="303" spans="1:64" ht="12.7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</row>
    <row r="304" spans="1:64" ht="12.7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</row>
    <row r="305" spans="1:64" ht="12.7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</row>
    <row r="306" spans="1:64" ht="12.7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</row>
    <row r="307" spans="1:64" ht="12.7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</row>
    <row r="308" spans="1:64" ht="12.7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</row>
    <row r="309" spans="1:64" ht="12.7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</row>
    <row r="310" spans="1:64" ht="12.7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</row>
    <row r="311" spans="1:64" ht="12.7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</row>
    <row r="312" spans="1:64" ht="12.7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</row>
    <row r="313" spans="1:64" ht="12.7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</row>
    <row r="314" spans="1:64" ht="12.7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</row>
    <row r="315" spans="1:64" ht="12.7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</row>
    <row r="316" spans="1:64" ht="12.7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</row>
    <row r="317" spans="1:64" ht="12.7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</row>
    <row r="318" spans="1:64" ht="12.7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</row>
    <row r="319" spans="1:64" ht="12.7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</row>
    <row r="320" spans="1:64" ht="12.7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</row>
    <row r="321" spans="1:64" ht="12.7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</row>
    <row r="322" spans="1:64" ht="12.7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</row>
    <row r="323" spans="1:64" ht="12.7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</row>
    <row r="324" spans="1:64" ht="12.7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</row>
    <row r="325" spans="1:64" ht="12.7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</row>
    <row r="326" spans="1:64" ht="12.7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</row>
    <row r="327" spans="1:64" ht="12.7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</row>
    <row r="328" spans="1:64" ht="12.7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</row>
    <row r="329" spans="1:64" ht="12.7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</row>
    <row r="330" spans="1:64" ht="12.7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</row>
    <row r="331" spans="1:64" ht="12.7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</row>
    <row r="332" spans="1:64" ht="12.7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</row>
    <row r="333" spans="1:64" ht="12.7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</row>
    <row r="334" spans="1:64" ht="12.7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</row>
    <row r="335" spans="1:64" ht="12.7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</row>
    <row r="336" spans="1:64" ht="12.7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</row>
    <row r="337" spans="1:64" ht="12.7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</row>
    <row r="338" spans="1:64" ht="12.7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</row>
    <row r="339" spans="1:64" ht="12.7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</row>
    <row r="340" spans="1:64" ht="12.7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</row>
    <row r="341" spans="1:64" ht="12.7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</row>
    <row r="342" spans="1:64" ht="12.7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</row>
    <row r="343" spans="1:64" ht="12.7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</row>
    <row r="344" spans="1:64" ht="12.7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</row>
    <row r="345" spans="1:64" ht="12.7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</row>
    <row r="346" spans="1:64" ht="12.75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</row>
    <row r="347" spans="1:64" ht="12.75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</row>
    <row r="348" spans="1:64" ht="12.75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</row>
    <row r="349" spans="1:64" ht="12.75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</row>
    <row r="350" spans="1:64" ht="12.75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</row>
    <row r="351" spans="1:64" ht="12.75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</row>
    <row r="352" spans="1:64" ht="12.75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</row>
    <row r="353" spans="1:64" ht="12.75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</row>
    <row r="354" spans="1:64" ht="12.7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</row>
    <row r="355" spans="1:64" ht="12.7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</row>
    <row r="356" spans="1:64" ht="12.7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</row>
    <row r="357" spans="1:64" ht="12.75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</row>
    <row r="358" spans="1:64" ht="12.7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</row>
    <row r="359" spans="1:64" ht="12.75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</row>
    <row r="360" spans="1:64" ht="12.75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</row>
    <row r="361" spans="1:64" ht="12.75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</row>
    <row r="362" spans="1:64" ht="12.75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</row>
    <row r="363" spans="1:64" ht="12.75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</row>
    <row r="364" spans="1:64" ht="12.75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</row>
    <row r="365" spans="1:64" ht="12.7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</row>
    <row r="366" spans="1:64" ht="12.75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</row>
    <row r="367" spans="1:64" ht="12.7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</row>
    <row r="368" spans="1:64" ht="12.7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</row>
    <row r="369" spans="1:64" ht="12.75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</row>
    <row r="370" spans="1:64" ht="12.75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</row>
    <row r="371" spans="1:64" ht="12.75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</row>
    <row r="372" spans="1:64" ht="12.75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</row>
    <row r="373" spans="1:64" ht="12.75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</row>
    <row r="374" spans="1:64" ht="12.7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</row>
    <row r="375" spans="1:64" ht="12.7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</row>
    <row r="376" spans="1:64" ht="12.75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</row>
    <row r="377" spans="1:64" ht="12.75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</row>
    <row r="378" spans="1:64" ht="12.75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</row>
    <row r="379" spans="1:64" ht="12.75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</row>
    <row r="380" spans="1:64" ht="12.7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</row>
    <row r="381" spans="1:64" ht="12.7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</row>
    <row r="382" spans="1:64" ht="12.7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</row>
    <row r="383" spans="1:64" ht="12.75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</row>
    <row r="384" spans="1:64" ht="12.75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</row>
    <row r="385" spans="1:64" ht="12.7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</row>
    <row r="386" spans="1:64" ht="12.75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</row>
    <row r="387" spans="1:64" ht="12.75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</row>
    <row r="388" spans="1:64" ht="12.7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</row>
    <row r="389" spans="1:64" ht="12.7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</row>
    <row r="390" spans="1:64" ht="12.7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</row>
    <row r="391" spans="1:64" ht="12.7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</row>
    <row r="392" spans="1:64" ht="12.7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</row>
    <row r="393" spans="1:64" ht="12.75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</row>
    <row r="394" spans="1:64" ht="12.75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</row>
    <row r="395" spans="1:64" ht="12.7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</row>
    <row r="396" spans="1:64" ht="12.75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</row>
    <row r="397" spans="1:64" ht="12.75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</row>
    <row r="398" spans="1:64" ht="12.75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</row>
    <row r="399" spans="1:64" ht="12.75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</row>
    <row r="400" spans="1:64" ht="12.7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</row>
    <row r="401" spans="1:64" ht="12.7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</row>
    <row r="402" spans="1:64" ht="12.7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</row>
    <row r="403" spans="1:64" ht="12.7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</row>
    <row r="404" spans="1:64" ht="12.7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</row>
    <row r="405" spans="1:64" ht="12.7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</row>
    <row r="406" spans="1:64" ht="12.7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</row>
    <row r="407" spans="1:64" ht="12.7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</row>
    <row r="408" spans="1:64" ht="12.7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</row>
    <row r="409" spans="1:64" ht="12.7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</row>
    <row r="410" spans="1:64" ht="12.75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</row>
    <row r="411" spans="1:64" ht="12.75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</row>
    <row r="412" spans="1:64" ht="12.75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</row>
    <row r="413" spans="1:64" ht="12.75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</row>
    <row r="414" spans="1:64" ht="12.75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</row>
    <row r="415" spans="1:64" ht="12.7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</row>
    <row r="416" spans="1:64" ht="12.75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</row>
    <row r="417" spans="1:64" ht="12.75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</row>
    <row r="418" spans="1:64" ht="12.75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</row>
    <row r="419" spans="1:64" ht="12.75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</row>
    <row r="420" spans="1:64" ht="12.75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</row>
    <row r="421" spans="1:64" ht="12.75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</row>
    <row r="422" spans="1:64" ht="12.75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</row>
    <row r="423" spans="1:64" ht="12.75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</row>
    <row r="424" spans="1:64" ht="12.75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</row>
    <row r="425" spans="1:64" ht="12.7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</row>
    <row r="426" spans="1:64" ht="12.75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</row>
    <row r="427" spans="1:64" ht="12.75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</row>
    <row r="428" spans="1:64" ht="12.75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</row>
    <row r="429" spans="1:64" ht="12.75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</row>
    <row r="430" spans="1:64" ht="12.75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</row>
    <row r="431" spans="1:64" ht="12.75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</row>
    <row r="432" spans="1:64" ht="12.7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</row>
    <row r="433" spans="1:64" ht="12.7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</row>
    <row r="434" spans="1:64" ht="12.75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</row>
    <row r="435" spans="1:64" ht="12.7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</row>
    <row r="436" spans="1:64" ht="12.75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</row>
    <row r="437" spans="1:64" ht="12.75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</row>
    <row r="438" spans="1:64" ht="12.75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</row>
    <row r="439" spans="1:64" ht="12.75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</row>
    <row r="440" spans="1:64" ht="12.75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  <c r="BL440" s="28"/>
    </row>
    <row r="441" spans="1:64" ht="12.75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  <c r="BL441" s="28"/>
    </row>
    <row r="442" spans="1:64" ht="12.75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</row>
    <row r="443" spans="1:64" ht="12.75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</row>
    <row r="444" spans="1:64" ht="12.75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</row>
    <row r="445" spans="1:64" ht="12.7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</row>
    <row r="446" spans="1:64" ht="12.75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</row>
    <row r="447" spans="1:64" ht="12.75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</row>
    <row r="448" spans="1:64" ht="12.75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</row>
    <row r="449" spans="1:64" ht="12.75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  <c r="BL449" s="28"/>
    </row>
    <row r="450" spans="1:64" ht="12.7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</row>
    <row r="451" spans="1:64" ht="12.75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  <c r="BL451" s="28"/>
    </row>
    <row r="452" spans="1:64" ht="12.75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  <c r="BL452" s="28"/>
    </row>
    <row r="453" spans="1:64" ht="12.75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  <c r="BL453" s="28"/>
    </row>
    <row r="454" spans="1:64" ht="12.75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</row>
    <row r="455" spans="1:64" ht="12.7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  <c r="BL455" s="28"/>
    </row>
    <row r="456" spans="1:64" ht="12.7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</row>
    <row r="457" spans="1:64" ht="12.7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  <c r="BL457" s="28"/>
    </row>
    <row r="458" spans="1:64" ht="12.75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</row>
    <row r="459" spans="1:64" ht="12.75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  <c r="BL459" s="28"/>
    </row>
    <row r="460" spans="1:64" ht="12.7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  <c r="BL460" s="28"/>
    </row>
    <row r="461" spans="1:64" ht="12.75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</row>
    <row r="462" spans="1:64" ht="12.75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  <c r="BL462" s="28"/>
    </row>
    <row r="463" spans="1:64" ht="12.75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</row>
    <row r="464" spans="1:64" ht="12.75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</row>
    <row r="465" spans="1:64" ht="12.7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</row>
    <row r="466" spans="1:64" ht="12.75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</row>
    <row r="467" spans="1:64" ht="12.75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</row>
    <row r="468" spans="1:64" ht="12.75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</row>
    <row r="469" spans="1:64" ht="12.75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</row>
    <row r="470" spans="1:64" ht="12.75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</row>
    <row r="471" spans="1:64" ht="12.75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</row>
    <row r="472" spans="1:64" ht="12.75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</row>
    <row r="473" spans="1:64" ht="12.75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8"/>
    </row>
    <row r="474" spans="1:64" ht="12.75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</row>
    <row r="475" spans="1:64" ht="12.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  <c r="BL475" s="28"/>
    </row>
    <row r="476" spans="1:64" ht="12.75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</row>
    <row r="477" spans="1:64" ht="12.75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</row>
    <row r="478" spans="1:64" ht="12.75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</row>
    <row r="479" spans="1:64" ht="12.75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</row>
    <row r="480" spans="1:64" ht="12.75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</row>
    <row r="481" spans="1:64" ht="12.75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  <c r="BL481" s="28"/>
    </row>
    <row r="482" spans="1:64" ht="12.75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</row>
    <row r="483" spans="1:64" ht="12.75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</row>
    <row r="484" spans="1:64" ht="12.75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</row>
    <row r="485" spans="1:64" ht="12.7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</row>
    <row r="486" spans="1:64" ht="12.75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</row>
    <row r="487" spans="1:64" ht="12.75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</row>
    <row r="488" spans="1:64" ht="12.75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</row>
    <row r="489" spans="1:64" ht="12.75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</row>
    <row r="490" spans="1:64" ht="12.75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</row>
    <row r="491" spans="1:64" ht="12.75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</row>
    <row r="492" spans="1:64" ht="12.75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</row>
    <row r="493" spans="1:64" ht="12.75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</row>
    <row r="494" spans="1:64" ht="12.75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  <c r="BL494" s="28"/>
    </row>
    <row r="495" spans="1:64" ht="12.7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</row>
    <row r="496" spans="1:64" ht="12.75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</row>
    <row r="497" spans="1:64" ht="12.75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  <c r="BL497" s="28"/>
    </row>
    <row r="498" spans="1:64" ht="12.75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</row>
    <row r="499" spans="1:64" ht="12.75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</row>
    <row r="500" spans="1:64" ht="12.75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</row>
    <row r="501" spans="1:64" ht="12.75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</row>
    <row r="502" spans="1:64" ht="12.75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</row>
    <row r="503" spans="1:64" ht="12.75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</row>
    <row r="504" spans="1:64" ht="12.75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</row>
    <row r="505" spans="1:64" ht="12.7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</row>
    <row r="506" spans="1:64" ht="12.75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</row>
    <row r="507" spans="1:64" ht="12.75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</row>
    <row r="508" spans="1:64" ht="12.75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  <c r="BL508" s="28"/>
    </row>
    <row r="509" spans="1:64" ht="12.75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</row>
    <row r="510" spans="1:64" ht="12.75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</row>
    <row r="511" spans="1:64" ht="12.75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</row>
    <row r="512" spans="1:64" ht="12.75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</row>
    <row r="513" spans="1:64" ht="12.75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</row>
    <row r="514" spans="1:64" ht="12.75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</row>
    <row r="515" spans="1:64" ht="12.7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</row>
    <row r="516" spans="1:64" ht="12.75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</row>
    <row r="517" spans="1:64" ht="12.75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</row>
    <row r="518" spans="1:64" ht="12.75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</row>
    <row r="519" spans="1:64" ht="12.75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</row>
    <row r="520" spans="1:64" ht="12.75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</row>
    <row r="521" spans="1:64" ht="12.75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</row>
    <row r="522" spans="1:64" ht="12.75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</row>
    <row r="523" spans="1:64" ht="12.75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</row>
    <row r="524" spans="1:64" ht="12.75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</row>
    <row r="525" spans="1:64" ht="12.7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</row>
    <row r="526" spans="1:64" ht="12.75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</row>
    <row r="527" spans="1:64" ht="12.75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</row>
    <row r="528" spans="1:64" ht="12.75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</row>
    <row r="529" spans="1:64" ht="12.75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</row>
    <row r="530" spans="1:64" ht="12.7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</row>
    <row r="531" spans="1:64" ht="12.7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</row>
    <row r="532" spans="1:64" ht="12.75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</row>
    <row r="533" spans="1:64" ht="12.75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</row>
    <row r="534" spans="1:64" ht="12.75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</row>
    <row r="535" spans="1:64" ht="12.7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</row>
    <row r="536" spans="1:64" ht="12.75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</row>
    <row r="537" spans="1:64" ht="12.75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</row>
    <row r="538" spans="1:64" ht="12.75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</row>
    <row r="539" spans="1:64" ht="12.7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</row>
    <row r="540" spans="1:64" ht="12.7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</row>
    <row r="541" spans="1:64" ht="12.7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</row>
    <row r="542" spans="1:64" ht="12.7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</row>
    <row r="543" spans="1:64" ht="12.75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</row>
    <row r="544" spans="1:64" ht="12.75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</row>
    <row r="545" spans="1:64" ht="12.7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</row>
    <row r="546" spans="1:64" ht="12.75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</row>
    <row r="547" spans="1:64" ht="12.75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</row>
    <row r="548" spans="1:64" ht="12.75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</row>
    <row r="549" spans="1:64" ht="12.75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</row>
    <row r="550" spans="1:64" ht="12.75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</row>
    <row r="551" spans="1:64" ht="12.75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</row>
    <row r="552" spans="1:64" ht="12.75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</row>
    <row r="553" spans="1:64" ht="12.75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</row>
    <row r="554" spans="1:64" ht="12.75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</row>
    <row r="555" spans="1:64" ht="12.7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  <c r="BL555" s="28"/>
    </row>
    <row r="556" spans="1:64" ht="12.75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  <c r="BL556" s="28"/>
    </row>
    <row r="557" spans="1:64" ht="12.75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  <c r="BL557" s="28"/>
    </row>
    <row r="558" spans="1:64" ht="12.75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  <c r="BL558" s="28"/>
    </row>
    <row r="559" spans="1:64" ht="12.75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  <c r="BL559" s="28"/>
    </row>
    <row r="560" spans="1:64" ht="12.75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  <c r="BL560" s="28"/>
    </row>
    <row r="561" spans="1:64" ht="12.75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</row>
    <row r="562" spans="1:64" ht="12.75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</row>
    <row r="563" spans="1:64" ht="12.75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</row>
    <row r="564" spans="1:64" ht="12.75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</row>
    <row r="565" spans="1:64" ht="12.7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</row>
    <row r="566" spans="1:64" ht="12.7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  <c r="BL566" s="28"/>
    </row>
    <row r="567" spans="1:64" ht="12.75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</row>
    <row r="568" spans="1:64" ht="12.75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  <c r="BL568" s="28"/>
    </row>
    <row r="569" spans="1:64" ht="12.75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</row>
    <row r="570" spans="1:64" ht="12.75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</row>
    <row r="571" spans="1:64" ht="12.75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</row>
    <row r="572" spans="1:64" ht="12.75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  <c r="BL572" s="28"/>
    </row>
    <row r="573" spans="1:64" ht="12.75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  <c r="BL573" s="28"/>
    </row>
    <row r="574" spans="1:64" ht="12.75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  <c r="BL574" s="28"/>
    </row>
    <row r="575" spans="1:64" ht="12.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  <c r="BL575" s="28"/>
    </row>
    <row r="576" spans="1:64" ht="12.75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  <c r="BL576" s="28"/>
    </row>
    <row r="577" spans="1:64" ht="12.75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  <c r="BL577" s="28"/>
    </row>
    <row r="578" spans="1:64" ht="12.75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  <c r="BL578" s="28"/>
    </row>
    <row r="579" spans="1:64" ht="12.75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</row>
    <row r="580" spans="1:64" ht="12.75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</row>
    <row r="581" spans="1:64" ht="12.75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  <c r="BL581" s="28"/>
    </row>
    <row r="582" spans="1:64" ht="12.75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  <c r="BL582" s="28"/>
    </row>
    <row r="583" spans="1:64" ht="12.75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  <c r="BL583" s="28"/>
    </row>
    <row r="584" spans="1:64" ht="12.75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</row>
    <row r="585" spans="1:64" ht="12.7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</row>
    <row r="586" spans="1:64" ht="12.75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</row>
    <row r="587" spans="1:64" ht="12.75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  <c r="BL587" s="28"/>
    </row>
    <row r="588" spans="1:64" ht="12.75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</row>
    <row r="589" spans="1:64" ht="12.75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  <c r="BL589" s="28"/>
    </row>
    <row r="590" spans="1:64" ht="12.75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</row>
    <row r="591" spans="1:64" ht="12.75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  <c r="BL591" s="28"/>
    </row>
    <row r="592" spans="1:64" ht="12.75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  <c r="BL592" s="28"/>
    </row>
    <row r="593" spans="1:64" ht="12.75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  <c r="BL593" s="28"/>
    </row>
    <row r="594" spans="1:64" ht="12.75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  <c r="BL594" s="28"/>
    </row>
    <row r="595" spans="1:64" ht="12.7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  <c r="BL595" s="28"/>
    </row>
    <row r="596" spans="1:64" ht="12.75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  <c r="BL596" s="28"/>
    </row>
    <row r="597" spans="1:64" ht="12.75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  <c r="BL597" s="28"/>
    </row>
    <row r="598" spans="1:64" ht="12.75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  <c r="BL598" s="28"/>
    </row>
    <row r="599" spans="1:64" ht="12.75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  <c r="BL599" s="28"/>
    </row>
    <row r="600" spans="1:64" ht="12.75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  <c r="BL600" s="28"/>
    </row>
    <row r="601" spans="1:64" ht="12.75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  <c r="BL601" s="28"/>
    </row>
    <row r="602" spans="1:64" ht="12.75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  <c r="BL602" s="28"/>
    </row>
    <row r="603" spans="1:64" ht="12.75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  <c r="BL603" s="28"/>
    </row>
    <row r="604" spans="1:64" ht="12.75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</row>
    <row r="605" spans="1:64" ht="12.7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  <c r="BL605" s="28"/>
    </row>
    <row r="606" spans="1:64" ht="12.75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  <c r="BL606" s="28"/>
    </row>
    <row r="607" spans="1:64" ht="12.75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  <c r="BL607" s="28"/>
    </row>
    <row r="608" spans="1:64" ht="12.75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  <c r="BL608" s="28"/>
    </row>
    <row r="609" spans="1:64" ht="12.75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  <c r="BL609" s="28"/>
    </row>
    <row r="610" spans="1:64" ht="12.75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  <c r="BL610" s="28"/>
    </row>
    <row r="611" spans="1:64" ht="12.75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  <c r="BL611" s="28"/>
    </row>
    <row r="612" spans="1:64" ht="12.75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  <c r="BL612" s="28"/>
    </row>
    <row r="613" spans="1:64" ht="12.75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  <c r="BL613" s="28"/>
    </row>
    <row r="614" spans="1:64" ht="12.75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  <c r="BL614" s="28"/>
    </row>
    <row r="615" spans="1:64" ht="12.7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  <c r="BL615" s="28"/>
    </row>
    <row r="616" spans="1:64" ht="12.75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  <c r="BL616" s="28"/>
    </row>
    <row r="617" spans="1:64" ht="12.75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  <c r="BL617" s="28"/>
    </row>
    <row r="618" spans="1:64" ht="12.75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  <c r="BL618" s="28"/>
    </row>
    <row r="619" spans="1:64" ht="12.75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  <c r="BL619" s="28"/>
    </row>
    <row r="620" spans="1:64" ht="12.75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  <c r="BL620" s="28"/>
    </row>
    <row r="621" spans="1:64" ht="12.75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  <c r="BL621" s="28"/>
    </row>
    <row r="622" spans="1:64" ht="12.75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  <c r="BL622" s="28"/>
    </row>
    <row r="623" spans="1:64" ht="12.75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  <c r="BL623" s="28"/>
    </row>
    <row r="624" spans="1:64" ht="12.75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  <c r="BL624" s="28"/>
    </row>
    <row r="625" spans="1:64" ht="12.7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  <c r="BL625" s="28"/>
    </row>
    <row r="626" spans="1:64" ht="12.75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  <c r="BL626" s="28"/>
    </row>
    <row r="627" spans="1:64" ht="12.7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  <c r="BL627" s="28"/>
    </row>
    <row r="628" spans="1:64" ht="12.75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  <c r="BL628" s="28"/>
    </row>
    <row r="629" spans="1:64" ht="12.75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  <c r="BL629" s="28"/>
    </row>
    <row r="630" spans="1:64" ht="12.75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  <c r="BL630" s="28"/>
    </row>
    <row r="631" spans="1:64" ht="12.75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  <c r="BL631" s="28"/>
    </row>
    <row r="632" spans="1:64" ht="12.75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  <c r="BL632" s="28"/>
    </row>
    <row r="633" spans="1:64" ht="12.75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  <c r="BL633" s="28"/>
    </row>
    <row r="634" spans="1:64" ht="12.75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  <c r="BL634" s="28"/>
    </row>
    <row r="635" spans="1:64" ht="12.7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  <c r="BL635" s="28"/>
    </row>
    <row r="636" spans="1:64" ht="12.75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  <c r="BL636" s="28"/>
    </row>
    <row r="637" spans="1:64" ht="12.75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  <c r="BL637" s="28"/>
    </row>
    <row r="638" spans="1:64" ht="12.75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  <c r="BL638" s="28"/>
    </row>
    <row r="639" spans="1:64" ht="12.75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  <c r="BL639" s="28"/>
    </row>
    <row r="640" spans="1:64" ht="12.75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  <c r="BL640" s="28"/>
    </row>
    <row r="641" spans="1:64" ht="12.75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  <c r="BL641" s="28"/>
    </row>
    <row r="642" spans="1:64" ht="12.75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  <c r="BL642" s="28"/>
    </row>
    <row r="643" spans="1:64" ht="12.75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  <c r="BL643" s="28"/>
    </row>
    <row r="644" spans="1:64" ht="12.7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  <c r="BL644" s="28"/>
    </row>
    <row r="645" spans="1:64" ht="12.7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  <c r="BL645" s="28"/>
    </row>
    <row r="646" spans="1:64" ht="12.75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  <c r="BL646" s="28"/>
    </row>
    <row r="647" spans="1:64" ht="12.75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  <c r="BL647" s="28"/>
    </row>
    <row r="648" spans="1:64" ht="12.75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  <c r="BL648" s="28"/>
    </row>
    <row r="649" spans="1:64" ht="12.75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  <c r="BL649" s="28"/>
    </row>
    <row r="650" spans="1:64" ht="12.75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  <c r="BL650" s="28"/>
    </row>
    <row r="651" spans="1:64" ht="12.75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  <c r="BL651" s="28"/>
    </row>
    <row r="652" spans="1:64" ht="12.75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  <c r="BL652" s="28"/>
    </row>
    <row r="653" spans="1:64" ht="12.7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  <c r="BL653" s="28"/>
    </row>
    <row r="654" spans="1:64" ht="12.7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  <c r="BL654" s="28"/>
    </row>
    <row r="655" spans="1:64" ht="12.7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  <c r="BL655" s="28"/>
    </row>
    <row r="656" spans="1:64" ht="12.75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  <c r="BL656" s="28"/>
    </row>
    <row r="657" spans="1:64" ht="12.75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  <c r="BL657" s="28"/>
    </row>
    <row r="658" spans="1:64" ht="12.75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  <c r="BL658" s="28"/>
    </row>
    <row r="659" spans="1:64" ht="12.75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  <c r="BL659" s="28"/>
    </row>
    <row r="660" spans="1:64" ht="12.75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  <c r="BL660" s="28"/>
    </row>
    <row r="661" spans="1:64" ht="12.75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  <c r="BL661" s="28"/>
    </row>
    <row r="662" spans="1:64" ht="12.75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  <c r="BL662" s="28"/>
    </row>
    <row r="663" spans="1:64" ht="12.75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  <c r="BL663" s="28"/>
    </row>
    <row r="664" spans="1:64" ht="12.75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  <c r="BL664" s="28"/>
    </row>
    <row r="665" spans="1:64" ht="12.7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  <c r="BL665" s="28"/>
    </row>
    <row r="666" spans="1:64" ht="12.75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  <c r="BL666" s="28"/>
    </row>
    <row r="667" spans="1:64" ht="12.75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  <c r="BL667" s="28"/>
    </row>
    <row r="668" spans="1:64" ht="12.75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  <c r="BL668" s="28"/>
    </row>
    <row r="669" spans="1:64" ht="12.75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  <c r="BL669" s="28"/>
    </row>
    <row r="670" spans="1:64" ht="12.75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  <c r="BL670" s="28"/>
    </row>
    <row r="671" spans="1:64" ht="12.75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  <c r="BL671" s="28"/>
    </row>
    <row r="672" spans="1:64" ht="12.75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  <c r="BL672" s="28"/>
    </row>
    <row r="673" spans="1:64" ht="12.75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  <c r="BL673" s="28"/>
    </row>
    <row r="674" spans="1:64" ht="12.75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  <c r="BL674" s="28"/>
    </row>
    <row r="675" spans="1:64" ht="12.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  <c r="BL675" s="28"/>
    </row>
    <row r="676" spans="1:64" ht="12.75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  <c r="BL676" s="28"/>
    </row>
    <row r="677" spans="1:64" ht="12.75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  <c r="BL677" s="28"/>
    </row>
    <row r="678" spans="1:64" ht="12.75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  <c r="BL678" s="28"/>
    </row>
    <row r="679" spans="1:64" ht="12.75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  <c r="BC679" s="28"/>
      <c r="BD679" s="28"/>
      <c r="BE679" s="28"/>
      <c r="BF679" s="28"/>
      <c r="BG679" s="28"/>
      <c r="BH679" s="28"/>
      <c r="BI679" s="28"/>
      <c r="BJ679" s="28"/>
      <c r="BK679" s="28"/>
      <c r="BL679" s="28"/>
    </row>
    <row r="680" spans="1:64" ht="12.75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  <c r="BC680" s="28"/>
      <c r="BD680" s="28"/>
      <c r="BE680" s="28"/>
      <c r="BF680" s="28"/>
      <c r="BG680" s="28"/>
      <c r="BH680" s="28"/>
      <c r="BI680" s="28"/>
      <c r="BJ680" s="28"/>
      <c r="BK680" s="28"/>
      <c r="BL680" s="28"/>
    </row>
    <row r="681" spans="1:64" ht="12.75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  <c r="BC681" s="28"/>
      <c r="BD681" s="28"/>
      <c r="BE681" s="28"/>
      <c r="BF681" s="28"/>
      <c r="BG681" s="28"/>
      <c r="BH681" s="28"/>
      <c r="BI681" s="28"/>
      <c r="BJ681" s="28"/>
      <c r="BK681" s="28"/>
      <c r="BL681" s="28"/>
    </row>
    <row r="682" spans="1:64" ht="12.75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  <c r="BC682" s="28"/>
      <c r="BD682" s="28"/>
      <c r="BE682" s="28"/>
      <c r="BF682" s="28"/>
      <c r="BG682" s="28"/>
      <c r="BH682" s="28"/>
      <c r="BI682" s="28"/>
      <c r="BJ682" s="28"/>
      <c r="BK682" s="28"/>
      <c r="BL682" s="28"/>
    </row>
    <row r="683" spans="1:64" ht="12.75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  <c r="BC683" s="28"/>
      <c r="BD683" s="28"/>
      <c r="BE683" s="28"/>
      <c r="BF683" s="28"/>
      <c r="BG683" s="28"/>
      <c r="BH683" s="28"/>
      <c r="BI683" s="28"/>
      <c r="BJ683" s="28"/>
      <c r="BK683" s="28"/>
      <c r="BL683" s="28"/>
    </row>
    <row r="684" spans="1:64" ht="12.75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  <c r="BC684" s="28"/>
      <c r="BD684" s="28"/>
      <c r="BE684" s="28"/>
      <c r="BF684" s="28"/>
      <c r="BG684" s="28"/>
      <c r="BH684" s="28"/>
      <c r="BI684" s="28"/>
      <c r="BJ684" s="28"/>
      <c r="BK684" s="28"/>
      <c r="BL684" s="28"/>
    </row>
    <row r="685" spans="1:64" ht="12.7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  <c r="BC685" s="28"/>
      <c r="BD685" s="28"/>
      <c r="BE685" s="28"/>
      <c r="BF685" s="28"/>
      <c r="BG685" s="28"/>
      <c r="BH685" s="28"/>
      <c r="BI685" s="28"/>
      <c r="BJ685" s="28"/>
      <c r="BK685" s="28"/>
      <c r="BL685" s="28"/>
    </row>
    <row r="686" spans="1:64" ht="12.75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  <c r="BC686" s="28"/>
      <c r="BD686" s="28"/>
      <c r="BE686" s="28"/>
      <c r="BF686" s="28"/>
      <c r="BG686" s="28"/>
      <c r="BH686" s="28"/>
      <c r="BI686" s="28"/>
      <c r="BJ686" s="28"/>
      <c r="BK686" s="28"/>
      <c r="BL686" s="28"/>
    </row>
    <row r="687" spans="1:64" ht="12.75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  <c r="BC687" s="28"/>
      <c r="BD687" s="28"/>
      <c r="BE687" s="28"/>
      <c r="BF687" s="28"/>
      <c r="BG687" s="28"/>
      <c r="BH687" s="28"/>
      <c r="BI687" s="28"/>
      <c r="BJ687" s="28"/>
      <c r="BK687" s="28"/>
      <c r="BL687" s="28"/>
    </row>
    <row r="688" spans="1:64" ht="12.75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  <c r="BC688" s="28"/>
      <c r="BD688" s="28"/>
      <c r="BE688" s="28"/>
      <c r="BF688" s="28"/>
      <c r="BG688" s="28"/>
      <c r="BH688" s="28"/>
      <c r="BI688" s="28"/>
      <c r="BJ688" s="28"/>
      <c r="BK688" s="28"/>
      <c r="BL688" s="28"/>
    </row>
    <row r="689" spans="1:64" ht="12.75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  <c r="BC689" s="28"/>
      <c r="BD689" s="28"/>
      <c r="BE689" s="28"/>
      <c r="BF689" s="28"/>
      <c r="BG689" s="28"/>
      <c r="BH689" s="28"/>
      <c r="BI689" s="28"/>
      <c r="BJ689" s="28"/>
      <c r="BK689" s="28"/>
      <c r="BL689" s="28"/>
    </row>
    <row r="690" spans="1:64" ht="12.75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  <c r="BC690" s="28"/>
      <c r="BD690" s="28"/>
      <c r="BE690" s="28"/>
      <c r="BF690" s="28"/>
      <c r="BG690" s="28"/>
      <c r="BH690" s="28"/>
      <c r="BI690" s="28"/>
      <c r="BJ690" s="28"/>
      <c r="BK690" s="28"/>
      <c r="BL690" s="28"/>
    </row>
    <row r="691" spans="1:64" ht="12.75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  <c r="BC691" s="28"/>
      <c r="BD691" s="28"/>
      <c r="BE691" s="28"/>
      <c r="BF691" s="28"/>
      <c r="BG691" s="28"/>
      <c r="BH691" s="28"/>
      <c r="BI691" s="28"/>
      <c r="BJ691" s="28"/>
      <c r="BK691" s="28"/>
      <c r="BL691" s="28"/>
    </row>
    <row r="692" spans="1:64" ht="12.75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8"/>
      <c r="BG692" s="28"/>
      <c r="BH692" s="28"/>
      <c r="BI692" s="28"/>
      <c r="BJ692" s="28"/>
      <c r="BK692" s="28"/>
      <c r="BL692" s="28"/>
    </row>
    <row r="693" spans="1:64" ht="12.75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  <c r="BC693" s="28"/>
      <c r="BD693" s="28"/>
      <c r="BE693" s="28"/>
      <c r="BF693" s="28"/>
      <c r="BG693" s="28"/>
      <c r="BH693" s="28"/>
      <c r="BI693" s="28"/>
      <c r="BJ693" s="28"/>
      <c r="BK693" s="28"/>
      <c r="BL693" s="28"/>
    </row>
    <row r="694" spans="1:64" ht="12.75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  <c r="BC694" s="28"/>
      <c r="BD694" s="28"/>
      <c r="BE694" s="28"/>
      <c r="BF694" s="28"/>
      <c r="BG694" s="28"/>
      <c r="BH694" s="28"/>
      <c r="BI694" s="28"/>
      <c r="BJ694" s="28"/>
      <c r="BK694" s="28"/>
      <c r="BL694" s="28"/>
    </row>
    <row r="695" spans="1:64" ht="12.7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  <c r="BC695" s="28"/>
      <c r="BD695" s="28"/>
      <c r="BE695" s="28"/>
      <c r="BF695" s="28"/>
      <c r="BG695" s="28"/>
      <c r="BH695" s="28"/>
      <c r="BI695" s="28"/>
      <c r="BJ695" s="28"/>
      <c r="BK695" s="28"/>
      <c r="BL695" s="28"/>
    </row>
    <row r="696" spans="1:64" ht="12.75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  <c r="BC696" s="28"/>
      <c r="BD696" s="28"/>
      <c r="BE696" s="28"/>
      <c r="BF696" s="28"/>
      <c r="BG696" s="28"/>
      <c r="BH696" s="28"/>
      <c r="BI696" s="28"/>
      <c r="BJ696" s="28"/>
      <c r="BK696" s="28"/>
      <c r="BL696" s="28"/>
    </row>
    <row r="697" spans="1:64" ht="12.75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  <c r="BC697" s="28"/>
      <c r="BD697" s="28"/>
      <c r="BE697" s="28"/>
      <c r="BF697" s="28"/>
      <c r="BG697" s="28"/>
      <c r="BH697" s="28"/>
      <c r="BI697" s="28"/>
      <c r="BJ697" s="28"/>
      <c r="BK697" s="28"/>
      <c r="BL697" s="28"/>
    </row>
    <row r="698" spans="1:64" ht="12.75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  <c r="BC698" s="28"/>
      <c r="BD698" s="28"/>
      <c r="BE698" s="28"/>
      <c r="BF698" s="28"/>
      <c r="BG698" s="28"/>
      <c r="BH698" s="28"/>
      <c r="BI698" s="28"/>
      <c r="BJ698" s="28"/>
      <c r="BK698" s="28"/>
      <c r="BL698" s="28"/>
    </row>
    <row r="699" spans="1:64" ht="12.75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  <c r="BC699" s="28"/>
      <c r="BD699" s="28"/>
      <c r="BE699" s="28"/>
      <c r="BF699" s="28"/>
      <c r="BG699" s="28"/>
      <c r="BH699" s="28"/>
      <c r="BI699" s="28"/>
      <c r="BJ699" s="28"/>
      <c r="BK699" s="28"/>
      <c r="BL699" s="28"/>
    </row>
    <row r="700" spans="1:64" ht="12.75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  <c r="BC700" s="28"/>
      <c r="BD700" s="28"/>
      <c r="BE700" s="28"/>
      <c r="BF700" s="28"/>
      <c r="BG700" s="28"/>
      <c r="BH700" s="28"/>
      <c r="BI700" s="28"/>
      <c r="BJ700" s="28"/>
      <c r="BK700" s="28"/>
      <c r="BL700" s="28"/>
    </row>
    <row r="701" spans="1:64" ht="12.75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  <c r="BC701" s="28"/>
      <c r="BD701" s="28"/>
      <c r="BE701" s="28"/>
      <c r="BF701" s="28"/>
      <c r="BG701" s="28"/>
      <c r="BH701" s="28"/>
      <c r="BI701" s="28"/>
      <c r="BJ701" s="28"/>
      <c r="BK701" s="28"/>
      <c r="BL701" s="28"/>
    </row>
    <row r="702" spans="1:64" ht="12.75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  <c r="BC702" s="28"/>
      <c r="BD702" s="28"/>
      <c r="BE702" s="28"/>
      <c r="BF702" s="28"/>
      <c r="BG702" s="28"/>
      <c r="BH702" s="28"/>
      <c r="BI702" s="28"/>
      <c r="BJ702" s="28"/>
      <c r="BK702" s="28"/>
      <c r="BL702" s="28"/>
    </row>
    <row r="703" spans="1:64" ht="12.75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  <c r="BC703" s="28"/>
      <c r="BD703" s="28"/>
      <c r="BE703" s="28"/>
      <c r="BF703" s="28"/>
      <c r="BG703" s="28"/>
      <c r="BH703" s="28"/>
      <c r="BI703" s="28"/>
      <c r="BJ703" s="28"/>
      <c r="BK703" s="28"/>
      <c r="BL703" s="28"/>
    </row>
    <row r="704" spans="1:64" ht="12.75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  <c r="BC704" s="28"/>
      <c r="BD704" s="28"/>
      <c r="BE704" s="28"/>
      <c r="BF704" s="28"/>
      <c r="BG704" s="28"/>
      <c r="BH704" s="28"/>
      <c r="BI704" s="28"/>
      <c r="BJ704" s="28"/>
      <c r="BK704" s="28"/>
      <c r="BL704" s="28"/>
    </row>
    <row r="705" spans="1:64" ht="12.7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  <c r="BC705" s="28"/>
      <c r="BD705" s="28"/>
      <c r="BE705" s="28"/>
      <c r="BF705" s="28"/>
      <c r="BG705" s="28"/>
      <c r="BH705" s="28"/>
      <c r="BI705" s="28"/>
      <c r="BJ705" s="28"/>
      <c r="BK705" s="28"/>
      <c r="BL705" s="28"/>
    </row>
    <row r="706" spans="1:64" ht="12.75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  <c r="BC706" s="28"/>
      <c r="BD706" s="28"/>
      <c r="BE706" s="28"/>
      <c r="BF706" s="28"/>
      <c r="BG706" s="28"/>
      <c r="BH706" s="28"/>
      <c r="BI706" s="28"/>
      <c r="BJ706" s="28"/>
      <c r="BK706" s="28"/>
      <c r="BL706" s="28"/>
    </row>
    <row r="707" spans="1:64" ht="12.75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  <c r="BC707" s="28"/>
      <c r="BD707" s="28"/>
      <c r="BE707" s="28"/>
      <c r="BF707" s="28"/>
      <c r="BG707" s="28"/>
      <c r="BH707" s="28"/>
      <c r="BI707" s="28"/>
      <c r="BJ707" s="28"/>
      <c r="BK707" s="28"/>
      <c r="BL707" s="28"/>
    </row>
    <row r="708" spans="1:64" ht="12.75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  <c r="BC708" s="28"/>
      <c r="BD708" s="28"/>
      <c r="BE708" s="28"/>
      <c r="BF708" s="28"/>
      <c r="BG708" s="28"/>
      <c r="BH708" s="28"/>
      <c r="BI708" s="28"/>
      <c r="BJ708" s="28"/>
      <c r="BK708" s="28"/>
      <c r="BL708" s="28"/>
    </row>
    <row r="709" spans="1:64" ht="12.75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  <c r="BC709" s="28"/>
      <c r="BD709" s="28"/>
      <c r="BE709" s="28"/>
      <c r="BF709" s="28"/>
      <c r="BG709" s="28"/>
      <c r="BH709" s="28"/>
      <c r="BI709" s="28"/>
      <c r="BJ709" s="28"/>
      <c r="BK709" s="28"/>
      <c r="BL709" s="28"/>
    </row>
    <row r="710" spans="1:64" ht="12.75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  <c r="BC710" s="28"/>
      <c r="BD710" s="28"/>
      <c r="BE710" s="28"/>
      <c r="BF710" s="28"/>
      <c r="BG710" s="28"/>
      <c r="BH710" s="28"/>
      <c r="BI710" s="28"/>
      <c r="BJ710" s="28"/>
      <c r="BK710" s="28"/>
      <c r="BL710" s="28"/>
    </row>
    <row r="711" spans="1:64" ht="12.75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  <c r="BC711" s="28"/>
      <c r="BD711" s="28"/>
      <c r="BE711" s="28"/>
      <c r="BF711" s="28"/>
      <c r="BG711" s="28"/>
      <c r="BH711" s="28"/>
      <c r="BI711" s="28"/>
      <c r="BJ711" s="28"/>
      <c r="BK711" s="28"/>
      <c r="BL711" s="28"/>
    </row>
    <row r="712" spans="1:64" ht="12.75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  <c r="BC712" s="28"/>
      <c r="BD712" s="28"/>
      <c r="BE712" s="28"/>
      <c r="BF712" s="28"/>
      <c r="BG712" s="28"/>
      <c r="BH712" s="28"/>
      <c r="BI712" s="28"/>
      <c r="BJ712" s="28"/>
      <c r="BK712" s="28"/>
      <c r="BL712" s="28"/>
    </row>
    <row r="713" spans="1:64" ht="12.75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  <c r="BC713" s="28"/>
      <c r="BD713" s="28"/>
      <c r="BE713" s="28"/>
      <c r="BF713" s="28"/>
      <c r="BG713" s="28"/>
      <c r="BH713" s="28"/>
      <c r="BI713" s="28"/>
      <c r="BJ713" s="28"/>
      <c r="BK713" s="28"/>
      <c r="BL713" s="28"/>
    </row>
    <row r="714" spans="1:64" ht="12.75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  <c r="BC714" s="28"/>
      <c r="BD714" s="28"/>
      <c r="BE714" s="28"/>
      <c r="BF714" s="28"/>
      <c r="BG714" s="28"/>
      <c r="BH714" s="28"/>
      <c r="BI714" s="28"/>
      <c r="BJ714" s="28"/>
      <c r="BK714" s="28"/>
      <c r="BL714" s="28"/>
    </row>
    <row r="715" spans="1:64" ht="12.7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  <c r="BC715" s="28"/>
      <c r="BD715" s="28"/>
      <c r="BE715" s="28"/>
      <c r="BF715" s="28"/>
      <c r="BG715" s="28"/>
      <c r="BH715" s="28"/>
      <c r="BI715" s="28"/>
      <c r="BJ715" s="28"/>
      <c r="BK715" s="28"/>
      <c r="BL715" s="28"/>
    </row>
    <row r="716" spans="1:64" ht="12.75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  <c r="BC716" s="28"/>
      <c r="BD716" s="28"/>
      <c r="BE716" s="28"/>
      <c r="BF716" s="28"/>
      <c r="BG716" s="28"/>
      <c r="BH716" s="28"/>
      <c r="BI716" s="28"/>
      <c r="BJ716" s="28"/>
      <c r="BK716" s="28"/>
      <c r="BL716" s="28"/>
    </row>
    <row r="717" spans="1:64" ht="12.75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  <c r="BC717" s="28"/>
      <c r="BD717" s="28"/>
      <c r="BE717" s="28"/>
      <c r="BF717" s="28"/>
      <c r="BG717" s="28"/>
      <c r="BH717" s="28"/>
      <c r="BI717" s="28"/>
      <c r="BJ717" s="28"/>
      <c r="BK717" s="28"/>
      <c r="BL717" s="28"/>
    </row>
    <row r="718" spans="1:64" ht="12.75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  <c r="BC718" s="28"/>
      <c r="BD718" s="28"/>
      <c r="BE718" s="28"/>
      <c r="BF718" s="28"/>
      <c r="BG718" s="28"/>
      <c r="BH718" s="28"/>
      <c r="BI718" s="28"/>
      <c r="BJ718" s="28"/>
      <c r="BK718" s="28"/>
      <c r="BL718" s="28"/>
    </row>
    <row r="719" spans="1:64" ht="12.75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  <c r="BC719" s="28"/>
      <c r="BD719" s="28"/>
      <c r="BE719" s="28"/>
      <c r="BF719" s="28"/>
      <c r="BG719" s="28"/>
      <c r="BH719" s="28"/>
      <c r="BI719" s="28"/>
      <c r="BJ719" s="28"/>
      <c r="BK719" s="28"/>
      <c r="BL719" s="28"/>
    </row>
    <row r="720" spans="1:64" ht="12.75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  <c r="BC720" s="28"/>
      <c r="BD720" s="28"/>
      <c r="BE720" s="28"/>
      <c r="BF720" s="28"/>
      <c r="BG720" s="28"/>
      <c r="BH720" s="28"/>
      <c r="BI720" s="28"/>
      <c r="BJ720" s="28"/>
      <c r="BK720" s="28"/>
      <c r="BL720" s="28"/>
    </row>
    <row r="721" spans="1:64" ht="12.75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  <c r="BC721" s="28"/>
      <c r="BD721" s="28"/>
      <c r="BE721" s="28"/>
      <c r="BF721" s="28"/>
      <c r="BG721" s="28"/>
      <c r="BH721" s="28"/>
      <c r="BI721" s="28"/>
      <c r="BJ721" s="28"/>
      <c r="BK721" s="28"/>
      <c r="BL721" s="28"/>
    </row>
    <row r="722" spans="1:64" ht="12.75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  <c r="BC722" s="28"/>
      <c r="BD722" s="28"/>
      <c r="BE722" s="28"/>
      <c r="BF722" s="28"/>
      <c r="BG722" s="28"/>
      <c r="BH722" s="28"/>
      <c r="BI722" s="28"/>
      <c r="BJ722" s="28"/>
      <c r="BK722" s="28"/>
      <c r="BL722" s="28"/>
    </row>
    <row r="723" spans="1:64" ht="12.75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  <c r="BC723" s="28"/>
      <c r="BD723" s="28"/>
      <c r="BE723" s="28"/>
      <c r="BF723" s="28"/>
      <c r="BG723" s="28"/>
      <c r="BH723" s="28"/>
      <c r="BI723" s="28"/>
      <c r="BJ723" s="28"/>
      <c r="BK723" s="28"/>
      <c r="BL723" s="28"/>
    </row>
    <row r="724" spans="1:64" ht="12.75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  <c r="BC724" s="28"/>
      <c r="BD724" s="28"/>
      <c r="BE724" s="28"/>
      <c r="BF724" s="28"/>
      <c r="BG724" s="28"/>
      <c r="BH724" s="28"/>
      <c r="BI724" s="28"/>
      <c r="BJ724" s="28"/>
      <c r="BK724" s="28"/>
      <c r="BL724" s="28"/>
    </row>
    <row r="725" spans="1:64" ht="12.7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  <c r="BC725" s="28"/>
      <c r="BD725" s="28"/>
      <c r="BE725" s="28"/>
      <c r="BF725" s="28"/>
      <c r="BG725" s="28"/>
      <c r="BH725" s="28"/>
      <c r="BI725" s="28"/>
      <c r="BJ725" s="28"/>
      <c r="BK725" s="28"/>
      <c r="BL725" s="28"/>
    </row>
    <row r="726" spans="1:64" ht="12.75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  <c r="BC726" s="28"/>
      <c r="BD726" s="28"/>
      <c r="BE726" s="28"/>
      <c r="BF726" s="28"/>
      <c r="BG726" s="28"/>
      <c r="BH726" s="28"/>
      <c r="BI726" s="28"/>
      <c r="BJ726" s="28"/>
      <c r="BK726" s="28"/>
      <c r="BL726" s="28"/>
    </row>
    <row r="727" spans="1:64" ht="12.75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  <c r="BC727" s="28"/>
      <c r="BD727" s="28"/>
      <c r="BE727" s="28"/>
      <c r="BF727" s="28"/>
      <c r="BG727" s="28"/>
      <c r="BH727" s="28"/>
      <c r="BI727" s="28"/>
      <c r="BJ727" s="28"/>
      <c r="BK727" s="28"/>
      <c r="BL727" s="28"/>
    </row>
    <row r="728" spans="1:64" ht="12.75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  <c r="BC728" s="28"/>
      <c r="BD728" s="28"/>
      <c r="BE728" s="28"/>
      <c r="BF728" s="28"/>
      <c r="BG728" s="28"/>
      <c r="BH728" s="28"/>
      <c r="BI728" s="28"/>
      <c r="BJ728" s="28"/>
      <c r="BK728" s="28"/>
      <c r="BL728" s="28"/>
    </row>
    <row r="729" spans="1:64" ht="12.75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  <c r="BC729" s="28"/>
      <c r="BD729" s="28"/>
      <c r="BE729" s="28"/>
      <c r="BF729" s="28"/>
      <c r="BG729" s="28"/>
      <c r="BH729" s="28"/>
      <c r="BI729" s="28"/>
      <c r="BJ729" s="28"/>
      <c r="BK729" s="28"/>
      <c r="BL729" s="28"/>
    </row>
    <row r="730" spans="1:64" ht="12.75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  <c r="BC730" s="28"/>
      <c r="BD730" s="28"/>
      <c r="BE730" s="28"/>
      <c r="BF730" s="28"/>
      <c r="BG730" s="28"/>
      <c r="BH730" s="28"/>
      <c r="BI730" s="28"/>
      <c r="BJ730" s="28"/>
      <c r="BK730" s="28"/>
      <c r="BL730" s="28"/>
    </row>
    <row r="731" spans="1:64" ht="12.75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  <c r="BC731" s="28"/>
      <c r="BD731" s="28"/>
      <c r="BE731" s="28"/>
      <c r="BF731" s="28"/>
      <c r="BG731" s="28"/>
      <c r="BH731" s="28"/>
      <c r="BI731" s="28"/>
      <c r="BJ731" s="28"/>
      <c r="BK731" s="28"/>
      <c r="BL731" s="28"/>
    </row>
    <row r="732" spans="1:64" ht="12.75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  <c r="BC732" s="28"/>
      <c r="BD732" s="28"/>
      <c r="BE732" s="28"/>
      <c r="BF732" s="28"/>
      <c r="BG732" s="28"/>
      <c r="BH732" s="28"/>
      <c r="BI732" s="28"/>
      <c r="BJ732" s="28"/>
      <c r="BK732" s="28"/>
      <c r="BL732" s="28"/>
    </row>
    <row r="733" spans="1:64" ht="12.75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  <c r="BC733" s="28"/>
      <c r="BD733" s="28"/>
      <c r="BE733" s="28"/>
      <c r="BF733" s="28"/>
      <c r="BG733" s="28"/>
      <c r="BH733" s="28"/>
      <c r="BI733" s="28"/>
      <c r="BJ733" s="28"/>
      <c r="BK733" s="28"/>
      <c r="BL733" s="28"/>
    </row>
    <row r="734" spans="1:64" ht="12.75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  <c r="BC734" s="28"/>
      <c r="BD734" s="28"/>
      <c r="BE734" s="28"/>
      <c r="BF734" s="28"/>
      <c r="BG734" s="28"/>
      <c r="BH734" s="28"/>
      <c r="BI734" s="28"/>
      <c r="BJ734" s="28"/>
      <c r="BK734" s="28"/>
      <c r="BL734" s="28"/>
    </row>
    <row r="735" spans="1:64" ht="12.7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  <c r="BC735" s="28"/>
      <c r="BD735" s="28"/>
      <c r="BE735" s="28"/>
      <c r="BF735" s="28"/>
      <c r="BG735" s="28"/>
      <c r="BH735" s="28"/>
      <c r="BI735" s="28"/>
      <c r="BJ735" s="28"/>
      <c r="BK735" s="28"/>
      <c r="BL735" s="28"/>
    </row>
    <row r="736" spans="1:64" ht="12.75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  <c r="BC736" s="28"/>
      <c r="BD736" s="28"/>
      <c r="BE736" s="28"/>
      <c r="BF736" s="28"/>
      <c r="BG736" s="28"/>
      <c r="BH736" s="28"/>
      <c r="BI736" s="28"/>
      <c r="BJ736" s="28"/>
      <c r="BK736" s="28"/>
      <c r="BL736" s="28"/>
    </row>
    <row r="737" spans="1:64" ht="12.75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  <c r="BC737" s="28"/>
      <c r="BD737" s="28"/>
      <c r="BE737" s="28"/>
      <c r="BF737" s="28"/>
      <c r="BG737" s="28"/>
      <c r="BH737" s="28"/>
      <c r="BI737" s="28"/>
      <c r="BJ737" s="28"/>
      <c r="BK737" s="28"/>
      <c r="BL737" s="28"/>
    </row>
    <row r="738" spans="1:64" ht="12.75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  <c r="BC738" s="28"/>
      <c r="BD738" s="28"/>
      <c r="BE738" s="28"/>
      <c r="BF738" s="28"/>
      <c r="BG738" s="28"/>
      <c r="BH738" s="28"/>
      <c r="BI738" s="28"/>
      <c r="BJ738" s="28"/>
      <c r="BK738" s="28"/>
      <c r="BL738" s="28"/>
    </row>
    <row r="739" spans="1:64" ht="12.75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  <c r="BC739" s="28"/>
      <c r="BD739" s="28"/>
      <c r="BE739" s="28"/>
      <c r="BF739" s="28"/>
      <c r="BG739" s="28"/>
      <c r="BH739" s="28"/>
      <c r="BI739" s="28"/>
      <c r="BJ739" s="28"/>
      <c r="BK739" s="28"/>
      <c r="BL739" s="28"/>
    </row>
    <row r="740" spans="1:64" ht="12.75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  <c r="BC740" s="28"/>
      <c r="BD740" s="28"/>
      <c r="BE740" s="28"/>
      <c r="BF740" s="28"/>
      <c r="BG740" s="28"/>
      <c r="BH740" s="28"/>
      <c r="BI740" s="28"/>
      <c r="BJ740" s="28"/>
      <c r="BK740" s="28"/>
      <c r="BL740" s="28"/>
    </row>
    <row r="741" spans="1:64" ht="12.75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  <c r="BC741" s="28"/>
      <c r="BD741" s="28"/>
      <c r="BE741" s="28"/>
      <c r="BF741" s="28"/>
      <c r="BG741" s="28"/>
      <c r="BH741" s="28"/>
      <c r="BI741" s="28"/>
      <c r="BJ741" s="28"/>
      <c r="BK741" s="28"/>
      <c r="BL741" s="28"/>
    </row>
    <row r="742" spans="1:64" ht="12.75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  <c r="BC742" s="28"/>
      <c r="BD742" s="28"/>
      <c r="BE742" s="28"/>
      <c r="BF742" s="28"/>
      <c r="BG742" s="28"/>
      <c r="BH742" s="28"/>
      <c r="BI742" s="28"/>
      <c r="BJ742" s="28"/>
      <c r="BK742" s="28"/>
      <c r="BL742" s="28"/>
    </row>
    <row r="743" spans="1:64" ht="12.75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  <c r="BC743" s="28"/>
      <c r="BD743" s="28"/>
      <c r="BE743" s="28"/>
      <c r="BF743" s="28"/>
      <c r="BG743" s="28"/>
      <c r="BH743" s="28"/>
      <c r="BI743" s="28"/>
      <c r="BJ743" s="28"/>
      <c r="BK743" s="28"/>
      <c r="BL743" s="28"/>
    </row>
    <row r="744" spans="1:64" ht="12.75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  <c r="BC744" s="28"/>
      <c r="BD744" s="28"/>
      <c r="BE744" s="28"/>
      <c r="BF744" s="28"/>
      <c r="BG744" s="28"/>
      <c r="BH744" s="28"/>
      <c r="BI744" s="28"/>
      <c r="BJ744" s="28"/>
      <c r="BK744" s="28"/>
      <c r="BL744" s="28"/>
    </row>
    <row r="745" spans="1:64" ht="12.7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  <c r="BC745" s="28"/>
      <c r="BD745" s="28"/>
      <c r="BE745" s="28"/>
      <c r="BF745" s="28"/>
      <c r="BG745" s="28"/>
      <c r="BH745" s="28"/>
      <c r="BI745" s="28"/>
      <c r="BJ745" s="28"/>
      <c r="BK745" s="28"/>
      <c r="BL745" s="28"/>
    </row>
    <row r="746" spans="1:64" ht="12.75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  <c r="BC746" s="28"/>
      <c r="BD746" s="28"/>
      <c r="BE746" s="28"/>
      <c r="BF746" s="28"/>
      <c r="BG746" s="28"/>
      <c r="BH746" s="28"/>
      <c r="BI746" s="28"/>
      <c r="BJ746" s="28"/>
      <c r="BK746" s="28"/>
      <c r="BL746" s="28"/>
    </row>
    <row r="747" spans="1:64" ht="12.75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  <c r="BC747" s="28"/>
      <c r="BD747" s="28"/>
      <c r="BE747" s="28"/>
      <c r="BF747" s="28"/>
      <c r="BG747" s="28"/>
      <c r="BH747" s="28"/>
      <c r="BI747" s="28"/>
      <c r="BJ747" s="28"/>
      <c r="BK747" s="28"/>
      <c r="BL747" s="28"/>
    </row>
    <row r="748" spans="1:64" ht="12.75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  <c r="BC748" s="28"/>
      <c r="BD748" s="28"/>
      <c r="BE748" s="28"/>
      <c r="BF748" s="28"/>
      <c r="BG748" s="28"/>
      <c r="BH748" s="28"/>
      <c r="BI748" s="28"/>
      <c r="BJ748" s="28"/>
      <c r="BK748" s="28"/>
      <c r="BL748" s="28"/>
    </row>
    <row r="749" spans="1:64" ht="12.75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  <c r="BC749" s="28"/>
      <c r="BD749" s="28"/>
      <c r="BE749" s="28"/>
      <c r="BF749" s="28"/>
      <c r="BG749" s="28"/>
      <c r="BH749" s="28"/>
      <c r="BI749" s="28"/>
      <c r="BJ749" s="28"/>
      <c r="BK749" s="28"/>
      <c r="BL749" s="28"/>
    </row>
    <row r="750" spans="1:64" ht="12.75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  <c r="BC750" s="28"/>
      <c r="BD750" s="28"/>
      <c r="BE750" s="28"/>
      <c r="BF750" s="28"/>
      <c r="BG750" s="28"/>
      <c r="BH750" s="28"/>
      <c r="BI750" s="28"/>
      <c r="BJ750" s="28"/>
      <c r="BK750" s="28"/>
      <c r="BL750" s="28"/>
    </row>
    <row r="751" spans="1:64" ht="12.75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  <c r="BC751" s="28"/>
      <c r="BD751" s="28"/>
      <c r="BE751" s="28"/>
      <c r="BF751" s="28"/>
      <c r="BG751" s="28"/>
      <c r="BH751" s="28"/>
      <c r="BI751" s="28"/>
      <c r="BJ751" s="28"/>
      <c r="BK751" s="28"/>
      <c r="BL751" s="28"/>
    </row>
    <row r="752" spans="1:64" ht="12.75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  <c r="BC752" s="28"/>
      <c r="BD752" s="28"/>
      <c r="BE752" s="28"/>
      <c r="BF752" s="28"/>
      <c r="BG752" s="28"/>
      <c r="BH752" s="28"/>
      <c r="BI752" s="28"/>
      <c r="BJ752" s="28"/>
      <c r="BK752" s="28"/>
      <c r="BL752" s="28"/>
    </row>
    <row r="753" spans="1:64" ht="12.75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  <c r="BC753" s="28"/>
      <c r="BD753" s="28"/>
      <c r="BE753" s="28"/>
      <c r="BF753" s="28"/>
      <c r="BG753" s="28"/>
      <c r="BH753" s="28"/>
      <c r="BI753" s="28"/>
      <c r="BJ753" s="28"/>
      <c r="BK753" s="28"/>
      <c r="BL753" s="28"/>
    </row>
    <row r="754" spans="1:64" ht="12.75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  <c r="BC754" s="28"/>
      <c r="BD754" s="28"/>
      <c r="BE754" s="28"/>
      <c r="BF754" s="28"/>
      <c r="BG754" s="28"/>
      <c r="BH754" s="28"/>
      <c r="BI754" s="28"/>
      <c r="BJ754" s="28"/>
      <c r="BK754" s="28"/>
      <c r="BL754" s="28"/>
    </row>
    <row r="755" spans="1:64" ht="12.7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  <c r="BC755" s="28"/>
      <c r="BD755" s="28"/>
      <c r="BE755" s="28"/>
      <c r="BF755" s="28"/>
      <c r="BG755" s="28"/>
      <c r="BH755" s="28"/>
      <c r="BI755" s="28"/>
      <c r="BJ755" s="28"/>
      <c r="BK755" s="28"/>
      <c r="BL755" s="28"/>
    </row>
    <row r="756" spans="1:64" ht="12.75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  <c r="BC756" s="28"/>
      <c r="BD756" s="28"/>
      <c r="BE756" s="28"/>
      <c r="BF756" s="28"/>
      <c r="BG756" s="28"/>
      <c r="BH756" s="28"/>
      <c r="BI756" s="28"/>
      <c r="BJ756" s="28"/>
      <c r="BK756" s="28"/>
      <c r="BL756" s="28"/>
    </row>
    <row r="757" spans="1:64" ht="12.75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  <c r="BC757" s="28"/>
      <c r="BD757" s="28"/>
      <c r="BE757" s="28"/>
      <c r="BF757" s="28"/>
      <c r="BG757" s="28"/>
      <c r="BH757" s="28"/>
      <c r="BI757" s="28"/>
      <c r="BJ757" s="28"/>
      <c r="BK757" s="28"/>
      <c r="BL757" s="28"/>
    </row>
    <row r="758" spans="1:64" ht="12.75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  <c r="BC758" s="28"/>
      <c r="BD758" s="28"/>
      <c r="BE758" s="28"/>
      <c r="BF758" s="28"/>
      <c r="BG758" s="28"/>
      <c r="BH758" s="28"/>
      <c r="BI758" s="28"/>
      <c r="BJ758" s="28"/>
      <c r="BK758" s="28"/>
      <c r="BL758" s="28"/>
    </row>
    <row r="759" spans="1:64" ht="12.75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  <c r="BC759" s="28"/>
      <c r="BD759" s="28"/>
      <c r="BE759" s="28"/>
      <c r="BF759" s="28"/>
      <c r="BG759" s="28"/>
      <c r="BH759" s="28"/>
      <c r="BI759" s="28"/>
      <c r="BJ759" s="28"/>
      <c r="BK759" s="28"/>
      <c r="BL759" s="28"/>
    </row>
    <row r="760" spans="1:64" ht="12.75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  <c r="BC760" s="28"/>
      <c r="BD760" s="28"/>
      <c r="BE760" s="28"/>
      <c r="BF760" s="28"/>
      <c r="BG760" s="28"/>
      <c r="BH760" s="28"/>
      <c r="BI760" s="28"/>
      <c r="BJ760" s="28"/>
      <c r="BK760" s="28"/>
      <c r="BL760" s="28"/>
    </row>
    <row r="761" spans="1:64" ht="12.75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  <c r="BC761" s="28"/>
      <c r="BD761" s="28"/>
      <c r="BE761" s="28"/>
      <c r="BF761" s="28"/>
      <c r="BG761" s="28"/>
      <c r="BH761" s="28"/>
      <c r="BI761" s="28"/>
      <c r="BJ761" s="28"/>
      <c r="BK761" s="28"/>
      <c r="BL761" s="28"/>
    </row>
    <row r="762" spans="1:64" ht="12.75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  <c r="BC762" s="28"/>
      <c r="BD762" s="28"/>
      <c r="BE762" s="28"/>
      <c r="BF762" s="28"/>
      <c r="BG762" s="28"/>
      <c r="BH762" s="28"/>
      <c r="BI762" s="28"/>
      <c r="BJ762" s="28"/>
      <c r="BK762" s="28"/>
      <c r="BL762" s="28"/>
    </row>
    <row r="763" spans="1:64" ht="12.75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  <c r="BC763" s="28"/>
      <c r="BD763" s="28"/>
      <c r="BE763" s="28"/>
      <c r="BF763" s="28"/>
      <c r="BG763" s="28"/>
      <c r="BH763" s="28"/>
      <c r="BI763" s="28"/>
      <c r="BJ763" s="28"/>
      <c r="BK763" s="28"/>
      <c r="BL763" s="28"/>
    </row>
    <row r="764" spans="1:64" ht="12.75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  <c r="BC764" s="28"/>
      <c r="BD764" s="28"/>
      <c r="BE764" s="28"/>
      <c r="BF764" s="28"/>
      <c r="BG764" s="28"/>
      <c r="BH764" s="28"/>
      <c r="BI764" s="28"/>
      <c r="BJ764" s="28"/>
      <c r="BK764" s="28"/>
      <c r="BL764" s="28"/>
    </row>
    <row r="765" spans="1:64" ht="12.7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  <c r="BC765" s="28"/>
      <c r="BD765" s="28"/>
      <c r="BE765" s="28"/>
      <c r="BF765" s="28"/>
      <c r="BG765" s="28"/>
      <c r="BH765" s="28"/>
      <c r="BI765" s="28"/>
      <c r="BJ765" s="28"/>
      <c r="BK765" s="28"/>
      <c r="BL765" s="28"/>
    </row>
    <row r="766" spans="1:64" ht="12.75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  <c r="BC766" s="28"/>
      <c r="BD766" s="28"/>
      <c r="BE766" s="28"/>
      <c r="BF766" s="28"/>
      <c r="BG766" s="28"/>
      <c r="BH766" s="28"/>
      <c r="BI766" s="28"/>
      <c r="BJ766" s="28"/>
      <c r="BK766" s="28"/>
      <c r="BL766" s="28"/>
    </row>
    <row r="767" spans="1:64" ht="12.75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  <c r="BC767" s="28"/>
      <c r="BD767" s="28"/>
      <c r="BE767" s="28"/>
      <c r="BF767" s="28"/>
      <c r="BG767" s="28"/>
      <c r="BH767" s="28"/>
      <c r="BI767" s="28"/>
      <c r="BJ767" s="28"/>
      <c r="BK767" s="28"/>
      <c r="BL767" s="28"/>
    </row>
    <row r="768" spans="1:64" ht="12.75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  <c r="BC768" s="28"/>
      <c r="BD768" s="28"/>
      <c r="BE768" s="28"/>
      <c r="BF768" s="28"/>
      <c r="BG768" s="28"/>
      <c r="BH768" s="28"/>
      <c r="BI768" s="28"/>
      <c r="BJ768" s="28"/>
      <c r="BK768" s="28"/>
      <c r="BL768" s="28"/>
    </row>
    <row r="769" spans="1:64" ht="12.75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  <c r="BC769" s="28"/>
      <c r="BD769" s="28"/>
      <c r="BE769" s="28"/>
      <c r="BF769" s="28"/>
      <c r="BG769" s="28"/>
      <c r="BH769" s="28"/>
      <c r="BI769" s="28"/>
      <c r="BJ769" s="28"/>
      <c r="BK769" s="28"/>
      <c r="BL769" s="28"/>
    </row>
    <row r="770" spans="1:64" ht="12.75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  <c r="BC770" s="28"/>
      <c r="BD770" s="28"/>
      <c r="BE770" s="28"/>
      <c r="BF770" s="28"/>
      <c r="BG770" s="28"/>
      <c r="BH770" s="28"/>
      <c r="BI770" s="28"/>
      <c r="BJ770" s="28"/>
      <c r="BK770" s="28"/>
      <c r="BL770" s="28"/>
    </row>
    <row r="771" spans="1:64" ht="12.75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  <c r="BC771" s="28"/>
      <c r="BD771" s="28"/>
      <c r="BE771" s="28"/>
      <c r="BF771" s="28"/>
      <c r="BG771" s="28"/>
      <c r="BH771" s="28"/>
      <c r="BI771" s="28"/>
      <c r="BJ771" s="28"/>
      <c r="BK771" s="28"/>
      <c r="BL771" s="28"/>
    </row>
    <row r="772" spans="1:64" ht="12.75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  <c r="BC772" s="28"/>
      <c r="BD772" s="28"/>
      <c r="BE772" s="28"/>
      <c r="BF772" s="28"/>
      <c r="BG772" s="28"/>
      <c r="BH772" s="28"/>
      <c r="BI772" s="28"/>
      <c r="BJ772" s="28"/>
      <c r="BK772" s="28"/>
      <c r="BL772" s="28"/>
    </row>
    <row r="773" spans="1:64" ht="12.75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  <c r="BC773" s="28"/>
      <c r="BD773" s="28"/>
      <c r="BE773" s="28"/>
      <c r="BF773" s="28"/>
      <c r="BG773" s="28"/>
      <c r="BH773" s="28"/>
      <c r="BI773" s="28"/>
      <c r="BJ773" s="28"/>
      <c r="BK773" s="28"/>
      <c r="BL773" s="28"/>
    </row>
    <row r="774" spans="1:64" ht="12.75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  <c r="BC774" s="28"/>
      <c r="BD774" s="28"/>
      <c r="BE774" s="28"/>
      <c r="BF774" s="28"/>
      <c r="BG774" s="28"/>
      <c r="BH774" s="28"/>
      <c r="BI774" s="28"/>
      <c r="BJ774" s="28"/>
      <c r="BK774" s="28"/>
      <c r="BL774" s="28"/>
    </row>
    <row r="775" spans="1:64" ht="12.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  <c r="BC775" s="28"/>
      <c r="BD775" s="28"/>
      <c r="BE775" s="28"/>
      <c r="BF775" s="28"/>
      <c r="BG775" s="28"/>
      <c r="BH775" s="28"/>
      <c r="BI775" s="28"/>
      <c r="BJ775" s="28"/>
      <c r="BK775" s="28"/>
      <c r="BL775" s="28"/>
    </row>
    <row r="776" spans="1:64" ht="12.75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  <c r="BC776" s="28"/>
      <c r="BD776" s="28"/>
      <c r="BE776" s="28"/>
      <c r="BF776" s="28"/>
      <c r="BG776" s="28"/>
      <c r="BH776" s="28"/>
      <c r="BI776" s="28"/>
      <c r="BJ776" s="28"/>
      <c r="BK776" s="28"/>
      <c r="BL776" s="28"/>
    </row>
    <row r="777" spans="1:64" ht="12.75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  <c r="BC777" s="28"/>
      <c r="BD777" s="28"/>
      <c r="BE777" s="28"/>
      <c r="BF777" s="28"/>
      <c r="BG777" s="28"/>
      <c r="BH777" s="28"/>
      <c r="BI777" s="28"/>
      <c r="BJ777" s="28"/>
      <c r="BK777" s="28"/>
      <c r="BL777" s="28"/>
    </row>
    <row r="778" spans="1:64" ht="12.75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  <c r="BC778" s="28"/>
      <c r="BD778" s="28"/>
      <c r="BE778" s="28"/>
      <c r="BF778" s="28"/>
      <c r="BG778" s="28"/>
      <c r="BH778" s="28"/>
      <c r="BI778" s="28"/>
      <c r="BJ778" s="28"/>
      <c r="BK778" s="28"/>
      <c r="BL778" s="28"/>
    </row>
    <row r="779" spans="1:64" ht="12.75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  <c r="BC779" s="28"/>
      <c r="BD779" s="28"/>
      <c r="BE779" s="28"/>
      <c r="BF779" s="28"/>
      <c r="BG779" s="28"/>
      <c r="BH779" s="28"/>
      <c r="BI779" s="28"/>
      <c r="BJ779" s="28"/>
      <c r="BK779" s="28"/>
      <c r="BL779" s="28"/>
    </row>
    <row r="780" spans="1:64" ht="12.75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  <c r="BC780" s="28"/>
      <c r="BD780" s="28"/>
      <c r="BE780" s="28"/>
      <c r="BF780" s="28"/>
      <c r="BG780" s="28"/>
      <c r="BH780" s="28"/>
      <c r="BI780" s="28"/>
      <c r="BJ780" s="28"/>
      <c r="BK780" s="28"/>
      <c r="BL780" s="28"/>
    </row>
    <row r="781" spans="1:64" ht="12.75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  <c r="BC781" s="28"/>
      <c r="BD781" s="28"/>
      <c r="BE781" s="28"/>
      <c r="BF781" s="28"/>
      <c r="BG781" s="28"/>
      <c r="BH781" s="28"/>
      <c r="BI781" s="28"/>
      <c r="BJ781" s="28"/>
      <c r="BK781" s="28"/>
      <c r="BL781" s="28"/>
    </row>
    <row r="782" spans="1:64" ht="12.75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  <c r="BC782" s="28"/>
      <c r="BD782" s="28"/>
      <c r="BE782" s="28"/>
      <c r="BF782" s="28"/>
      <c r="BG782" s="28"/>
      <c r="BH782" s="28"/>
      <c r="BI782" s="28"/>
      <c r="BJ782" s="28"/>
      <c r="BK782" s="28"/>
      <c r="BL782" s="28"/>
    </row>
    <row r="783" spans="1:64" ht="12.75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  <c r="BC783" s="28"/>
      <c r="BD783" s="28"/>
      <c r="BE783" s="28"/>
      <c r="BF783" s="28"/>
      <c r="BG783" s="28"/>
      <c r="BH783" s="28"/>
      <c r="BI783" s="28"/>
      <c r="BJ783" s="28"/>
      <c r="BK783" s="28"/>
      <c r="BL783" s="28"/>
    </row>
    <row r="784" spans="1:64" ht="12.75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  <c r="BC784" s="28"/>
      <c r="BD784" s="28"/>
      <c r="BE784" s="28"/>
      <c r="BF784" s="28"/>
      <c r="BG784" s="28"/>
      <c r="BH784" s="28"/>
      <c r="BI784" s="28"/>
      <c r="BJ784" s="28"/>
      <c r="BK784" s="28"/>
      <c r="BL784" s="28"/>
    </row>
    <row r="785" spans="1:64" ht="12.7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  <c r="BC785" s="28"/>
      <c r="BD785" s="28"/>
      <c r="BE785" s="28"/>
      <c r="BF785" s="28"/>
      <c r="BG785" s="28"/>
      <c r="BH785" s="28"/>
      <c r="BI785" s="28"/>
      <c r="BJ785" s="28"/>
      <c r="BK785" s="28"/>
      <c r="BL785" s="28"/>
    </row>
    <row r="786" spans="1:64" ht="12.75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  <c r="BC786" s="28"/>
      <c r="BD786" s="28"/>
      <c r="BE786" s="28"/>
      <c r="BF786" s="28"/>
      <c r="BG786" s="28"/>
      <c r="BH786" s="28"/>
      <c r="BI786" s="28"/>
      <c r="BJ786" s="28"/>
      <c r="BK786" s="28"/>
      <c r="BL786" s="28"/>
    </row>
    <row r="787" spans="1:64" ht="12.75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  <c r="BC787" s="28"/>
      <c r="BD787" s="28"/>
      <c r="BE787" s="28"/>
      <c r="BF787" s="28"/>
      <c r="BG787" s="28"/>
      <c r="BH787" s="28"/>
      <c r="BI787" s="28"/>
      <c r="BJ787" s="28"/>
      <c r="BK787" s="28"/>
      <c r="BL787" s="28"/>
    </row>
    <row r="788" spans="1:64" ht="12.75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  <c r="BC788" s="28"/>
      <c r="BD788" s="28"/>
      <c r="BE788" s="28"/>
      <c r="BF788" s="28"/>
      <c r="BG788" s="28"/>
      <c r="BH788" s="28"/>
      <c r="BI788" s="28"/>
      <c r="BJ788" s="28"/>
      <c r="BK788" s="28"/>
      <c r="BL788" s="28"/>
    </row>
    <row r="789" spans="1:64" ht="12.75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  <c r="BC789" s="28"/>
      <c r="BD789" s="28"/>
      <c r="BE789" s="28"/>
      <c r="BF789" s="28"/>
      <c r="BG789" s="28"/>
      <c r="BH789" s="28"/>
      <c r="BI789" s="28"/>
      <c r="BJ789" s="28"/>
      <c r="BK789" s="28"/>
      <c r="BL789" s="28"/>
    </row>
    <row r="790" spans="1:64" ht="12.75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  <c r="BC790" s="28"/>
      <c r="BD790" s="28"/>
      <c r="BE790" s="28"/>
      <c r="BF790" s="28"/>
      <c r="BG790" s="28"/>
      <c r="BH790" s="28"/>
      <c r="BI790" s="28"/>
      <c r="BJ790" s="28"/>
      <c r="BK790" s="28"/>
      <c r="BL790" s="28"/>
    </row>
    <row r="791" spans="1:64" ht="12.75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  <c r="BC791" s="28"/>
      <c r="BD791" s="28"/>
      <c r="BE791" s="28"/>
      <c r="BF791" s="28"/>
      <c r="BG791" s="28"/>
      <c r="BH791" s="28"/>
      <c r="BI791" s="28"/>
      <c r="BJ791" s="28"/>
      <c r="BK791" s="28"/>
      <c r="BL791" s="28"/>
    </row>
    <row r="792" spans="1:64" ht="12.75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  <c r="BC792" s="28"/>
      <c r="BD792" s="28"/>
      <c r="BE792" s="28"/>
      <c r="BF792" s="28"/>
      <c r="BG792" s="28"/>
      <c r="BH792" s="28"/>
      <c r="BI792" s="28"/>
      <c r="BJ792" s="28"/>
      <c r="BK792" s="28"/>
      <c r="BL792" s="28"/>
    </row>
    <row r="793" spans="1:64" ht="12.75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  <c r="BC793" s="28"/>
      <c r="BD793" s="28"/>
      <c r="BE793" s="28"/>
      <c r="BF793" s="28"/>
      <c r="BG793" s="28"/>
      <c r="BH793" s="28"/>
      <c r="BI793" s="28"/>
      <c r="BJ793" s="28"/>
      <c r="BK793" s="28"/>
      <c r="BL793" s="28"/>
    </row>
    <row r="794" spans="1:64" ht="12.75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  <c r="BC794" s="28"/>
      <c r="BD794" s="28"/>
      <c r="BE794" s="28"/>
      <c r="BF794" s="28"/>
      <c r="BG794" s="28"/>
      <c r="BH794" s="28"/>
      <c r="BI794" s="28"/>
      <c r="BJ794" s="28"/>
      <c r="BK794" s="28"/>
      <c r="BL794" s="28"/>
    </row>
    <row r="795" spans="1:64" ht="12.7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  <c r="BC795" s="28"/>
      <c r="BD795" s="28"/>
      <c r="BE795" s="28"/>
      <c r="BF795" s="28"/>
      <c r="BG795" s="28"/>
      <c r="BH795" s="28"/>
      <c r="BI795" s="28"/>
      <c r="BJ795" s="28"/>
      <c r="BK795" s="28"/>
      <c r="BL795" s="28"/>
    </row>
    <row r="796" spans="1:64" ht="12.75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  <c r="BC796" s="28"/>
      <c r="BD796" s="28"/>
      <c r="BE796" s="28"/>
      <c r="BF796" s="28"/>
      <c r="BG796" s="28"/>
      <c r="BH796" s="28"/>
      <c r="BI796" s="28"/>
      <c r="BJ796" s="28"/>
      <c r="BK796" s="28"/>
      <c r="BL796" s="28"/>
    </row>
    <row r="797" spans="1:64" ht="12.75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  <c r="BC797" s="28"/>
      <c r="BD797" s="28"/>
      <c r="BE797" s="28"/>
      <c r="BF797" s="28"/>
      <c r="BG797" s="28"/>
      <c r="BH797" s="28"/>
      <c r="BI797" s="28"/>
      <c r="BJ797" s="28"/>
      <c r="BK797" s="28"/>
      <c r="BL797" s="28"/>
    </row>
    <row r="798" spans="1:64" ht="12.75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  <c r="BC798" s="28"/>
      <c r="BD798" s="28"/>
      <c r="BE798" s="28"/>
      <c r="BF798" s="28"/>
      <c r="BG798" s="28"/>
      <c r="BH798" s="28"/>
      <c r="BI798" s="28"/>
      <c r="BJ798" s="28"/>
      <c r="BK798" s="28"/>
      <c r="BL798" s="28"/>
    </row>
    <row r="799" spans="1:64" ht="12.75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  <c r="BC799" s="28"/>
      <c r="BD799" s="28"/>
      <c r="BE799" s="28"/>
      <c r="BF799" s="28"/>
      <c r="BG799" s="28"/>
      <c r="BH799" s="28"/>
      <c r="BI799" s="28"/>
      <c r="BJ799" s="28"/>
      <c r="BK799" s="28"/>
      <c r="BL799" s="28"/>
    </row>
    <row r="800" spans="1:64" ht="12.75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  <c r="BC800" s="28"/>
      <c r="BD800" s="28"/>
      <c r="BE800" s="28"/>
      <c r="BF800" s="28"/>
      <c r="BG800" s="28"/>
      <c r="BH800" s="28"/>
      <c r="BI800" s="28"/>
      <c r="BJ800" s="28"/>
      <c r="BK800" s="28"/>
      <c r="BL800" s="28"/>
    </row>
    <row r="801" spans="1:64" ht="12.75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  <c r="BC801" s="28"/>
      <c r="BD801" s="28"/>
      <c r="BE801" s="28"/>
      <c r="BF801" s="28"/>
      <c r="BG801" s="28"/>
      <c r="BH801" s="28"/>
      <c r="BI801" s="28"/>
      <c r="BJ801" s="28"/>
      <c r="BK801" s="28"/>
      <c r="BL801" s="28"/>
    </row>
    <row r="802" spans="1:64" ht="12.75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  <c r="BC802" s="28"/>
      <c r="BD802" s="28"/>
      <c r="BE802" s="28"/>
      <c r="BF802" s="28"/>
      <c r="BG802" s="28"/>
      <c r="BH802" s="28"/>
      <c r="BI802" s="28"/>
      <c r="BJ802" s="28"/>
      <c r="BK802" s="28"/>
      <c r="BL802" s="28"/>
    </row>
    <row r="803" spans="1:64" ht="12.75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  <c r="BC803" s="28"/>
      <c r="BD803" s="28"/>
      <c r="BE803" s="28"/>
      <c r="BF803" s="28"/>
      <c r="BG803" s="28"/>
      <c r="BH803" s="28"/>
      <c r="BI803" s="28"/>
      <c r="BJ803" s="28"/>
      <c r="BK803" s="28"/>
      <c r="BL803" s="28"/>
    </row>
    <row r="804" spans="1:64" ht="12.75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  <c r="BC804" s="28"/>
      <c r="BD804" s="28"/>
      <c r="BE804" s="28"/>
      <c r="BF804" s="28"/>
      <c r="BG804" s="28"/>
      <c r="BH804" s="28"/>
      <c r="BI804" s="28"/>
      <c r="BJ804" s="28"/>
      <c r="BK804" s="28"/>
      <c r="BL804" s="28"/>
    </row>
    <row r="805" spans="1:64" ht="12.7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  <c r="BC805" s="28"/>
      <c r="BD805" s="28"/>
      <c r="BE805" s="28"/>
      <c r="BF805" s="28"/>
      <c r="BG805" s="28"/>
      <c r="BH805" s="28"/>
      <c r="BI805" s="28"/>
      <c r="BJ805" s="28"/>
      <c r="BK805" s="28"/>
      <c r="BL805" s="28"/>
    </row>
    <row r="806" spans="1:64" ht="12.75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  <c r="BC806" s="28"/>
      <c r="BD806" s="28"/>
      <c r="BE806" s="28"/>
      <c r="BF806" s="28"/>
      <c r="BG806" s="28"/>
      <c r="BH806" s="28"/>
      <c r="BI806" s="28"/>
      <c r="BJ806" s="28"/>
      <c r="BK806" s="28"/>
      <c r="BL806" s="28"/>
    </row>
    <row r="807" spans="1:64" ht="12.75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  <c r="BC807" s="28"/>
      <c r="BD807" s="28"/>
      <c r="BE807" s="28"/>
      <c r="BF807" s="28"/>
      <c r="BG807" s="28"/>
      <c r="BH807" s="28"/>
      <c r="BI807" s="28"/>
      <c r="BJ807" s="28"/>
      <c r="BK807" s="28"/>
      <c r="BL807" s="28"/>
    </row>
    <row r="808" spans="1:64" ht="12.75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  <c r="BC808" s="28"/>
      <c r="BD808" s="28"/>
      <c r="BE808" s="28"/>
      <c r="BF808" s="28"/>
      <c r="BG808" s="28"/>
      <c r="BH808" s="28"/>
      <c r="BI808" s="28"/>
      <c r="BJ808" s="28"/>
      <c r="BK808" s="28"/>
      <c r="BL808" s="28"/>
    </row>
    <row r="809" spans="1:64" ht="12.75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  <c r="BC809" s="28"/>
      <c r="BD809" s="28"/>
      <c r="BE809" s="28"/>
      <c r="BF809" s="28"/>
      <c r="BG809" s="28"/>
      <c r="BH809" s="28"/>
      <c r="BI809" s="28"/>
      <c r="BJ809" s="28"/>
      <c r="BK809" s="28"/>
      <c r="BL809" s="28"/>
    </row>
    <row r="810" spans="1:64" ht="12.75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  <c r="BC810" s="28"/>
      <c r="BD810" s="28"/>
      <c r="BE810" s="28"/>
      <c r="BF810" s="28"/>
      <c r="BG810" s="28"/>
      <c r="BH810" s="28"/>
      <c r="BI810" s="28"/>
      <c r="BJ810" s="28"/>
      <c r="BK810" s="28"/>
      <c r="BL810" s="28"/>
    </row>
    <row r="811" spans="1:64" ht="12.75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  <c r="BC811" s="28"/>
      <c r="BD811" s="28"/>
      <c r="BE811" s="28"/>
      <c r="BF811" s="28"/>
      <c r="BG811" s="28"/>
      <c r="BH811" s="28"/>
      <c r="BI811" s="28"/>
      <c r="BJ811" s="28"/>
      <c r="BK811" s="28"/>
      <c r="BL811" s="28"/>
    </row>
    <row r="812" spans="1:64" ht="12.75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  <c r="BC812" s="28"/>
      <c r="BD812" s="28"/>
      <c r="BE812" s="28"/>
      <c r="BF812" s="28"/>
      <c r="BG812" s="28"/>
      <c r="BH812" s="28"/>
      <c r="BI812" s="28"/>
      <c r="BJ812" s="28"/>
      <c r="BK812" s="28"/>
      <c r="BL812" s="28"/>
    </row>
    <row r="813" spans="1:64" ht="12.75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  <c r="BC813" s="28"/>
      <c r="BD813" s="28"/>
      <c r="BE813" s="28"/>
      <c r="BF813" s="28"/>
      <c r="BG813" s="28"/>
      <c r="BH813" s="28"/>
      <c r="BI813" s="28"/>
      <c r="BJ813" s="28"/>
      <c r="BK813" s="28"/>
      <c r="BL813" s="28"/>
    </row>
    <row r="814" spans="1:64" ht="12.75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  <c r="BC814" s="28"/>
      <c r="BD814" s="28"/>
      <c r="BE814" s="28"/>
      <c r="BF814" s="28"/>
      <c r="BG814" s="28"/>
      <c r="BH814" s="28"/>
      <c r="BI814" s="28"/>
      <c r="BJ814" s="28"/>
      <c r="BK814" s="28"/>
      <c r="BL814" s="28"/>
    </row>
    <row r="815" spans="1:64" ht="12.7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  <c r="BC815" s="28"/>
      <c r="BD815" s="28"/>
      <c r="BE815" s="28"/>
      <c r="BF815" s="28"/>
      <c r="BG815" s="28"/>
      <c r="BH815" s="28"/>
      <c r="BI815" s="28"/>
      <c r="BJ815" s="28"/>
      <c r="BK815" s="28"/>
      <c r="BL815" s="28"/>
    </row>
    <row r="816" spans="1:64" ht="12.75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  <c r="BC816" s="28"/>
      <c r="BD816" s="28"/>
      <c r="BE816" s="28"/>
      <c r="BF816" s="28"/>
      <c r="BG816" s="28"/>
      <c r="BH816" s="28"/>
      <c r="BI816" s="28"/>
      <c r="BJ816" s="28"/>
      <c r="BK816" s="28"/>
      <c r="BL816" s="28"/>
    </row>
    <row r="817" spans="1:64" ht="12.75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  <c r="BC817" s="28"/>
      <c r="BD817" s="28"/>
      <c r="BE817" s="28"/>
      <c r="BF817" s="28"/>
      <c r="BG817" s="28"/>
      <c r="BH817" s="28"/>
      <c r="BI817" s="28"/>
      <c r="BJ817" s="28"/>
      <c r="BK817" s="28"/>
      <c r="BL817" s="28"/>
    </row>
    <row r="818" spans="1:64" ht="12.75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  <c r="BC818" s="28"/>
      <c r="BD818" s="28"/>
      <c r="BE818" s="28"/>
      <c r="BF818" s="28"/>
      <c r="BG818" s="28"/>
      <c r="BH818" s="28"/>
      <c r="BI818" s="28"/>
      <c r="BJ818" s="28"/>
      <c r="BK818" s="28"/>
      <c r="BL818" s="28"/>
    </row>
    <row r="819" spans="1:64" ht="12.75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  <c r="BC819" s="28"/>
      <c r="BD819" s="28"/>
      <c r="BE819" s="28"/>
      <c r="BF819" s="28"/>
      <c r="BG819" s="28"/>
      <c r="BH819" s="28"/>
      <c r="BI819" s="28"/>
      <c r="BJ819" s="28"/>
      <c r="BK819" s="28"/>
      <c r="BL819" s="28"/>
    </row>
    <row r="820" spans="1:64" ht="12.75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  <c r="BC820" s="28"/>
      <c r="BD820" s="28"/>
      <c r="BE820" s="28"/>
      <c r="BF820" s="28"/>
      <c r="BG820" s="28"/>
      <c r="BH820" s="28"/>
      <c r="BI820" s="28"/>
      <c r="BJ820" s="28"/>
      <c r="BK820" s="28"/>
      <c r="BL820" s="28"/>
    </row>
    <row r="821" spans="1:64" ht="12.75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  <c r="BC821" s="28"/>
      <c r="BD821" s="28"/>
      <c r="BE821" s="28"/>
      <c r="BF821" s="28"/>
      <c r="BG821" s="28"/>
      <c r="BH821" s="28"/>
      <c r="BI821" s="28"/>
      <c r="BJ821" s="28"/>
      <c r="BK821" s="28"/>
      <c r="BL821" s="28"/>
    </row>
    <row r="822" spans="1:64" ht="12.75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  <c r="BC822" s="28"/>
      <c r="BD822" s="28"/>
      <c r="BE822" s="28"/>
      <c r="BF822" s="28"/>
      <c r="BG822" s="28"/>
      <c r="BH822" s="28"/>
      <c r="BI822" s="28"/>
      <c r="BJ822" s="28"/>
      <c r="BK822" s="28"/>
      <c r="BL822" s="28"/>
    </row>
    <row r="823" spans="1:64" ht="12.75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  <c r="BC823" s="28"/>
      <c r="BD823" s="28"/>
      <c r="BE823" s="28"/>
      <c r="BF823" s="28"/>
      <c r="BG823" s="28"/>
      <c r="BH823" s="28"/>
      <c r="BI823" s="28"/>
      <c r="BJ823" s="28"/>
      <c r="BK823" s="28"/>
      <c r="BL823" s="28"/>
    </row>
    <row r="824" spans="1:64" ht="12.75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  <c r="BC824" s="28"/>
      <c r="BD824" s="28"/>
      <c r="BE824" s="28"/>
      <c r="BF824" s="28"/>
      <c r="BG824" s="28"/>
      <c r="BH824" s="28"/>
      <c r="BI824" s="28"/>
      <c r="BJ824" s="28"/>
      <c r="BK824" s="28"/>
      <c r="BL824" s="28"/>
    </row>
    <row r="825" spans="1:64" ht="12.7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  <c r="BC825" s="28"/>
      <c r="BD825" s="28"/>
      <c r="BE825" s="28"/>
      <c r="BF825" s="28"/>
      <c r="BG825" s="28"/>
      <c r="BH825" s="28"/>
      <c r="BI825" s="28"/>
      <c r="BJ825" s="28"/>
      <c r="BK825" s="28"/>
      <c r="BL825" s="28"/>
    </row>
    <row r="826" spans="1:64" ht="12.75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  <c r="BC826" s="28"/>
      <c r="BD826" s="28"/>
      <c r="BE826" s="28"/>
      <c r="BF826" s="28"/>
      <c r="BG826" s="28"/>
      <c r="BH826" s="28"/>
      <c r="BI826" s="28"/>
      <c r="BJ826" s="28"/>
      <c r="BK826" s="28"/>
      <c r="BL826" s="28"/>
    </row>
    <row r="827" spans="1:64" ht="12.75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  <c r="BC827" s="28"/>
      <c r="BD827" s="28"/>
      <c r="BE827" s="28"/>
      <c r="BF827" s="28"/>
      <c r="BG827" s="28"/>
      <c r="BH827" s="28"/>
      <c r="BI827" s="28"/>
      <c r="BJ827" s="28"/>
      <c r="BK827" s="28"/>
      <c r="BL827" s="28"/>
    </row>
    <row r="828" spans="1:64" ht="12.75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  <c r="BC828" s="28"/>
      <c r="BD828" s="28"/>
      <c r="BE828" s="28"/>
      <c r="BF828" s="28"/>
      <c r="BG828" s="28"/>
      <c r="BH828" s="28"/>
      <c r="BI828" s="28"/>
      <c r="BJ828" s="28"/>
      <c r="BK828" s="28"/>
      <c r="BL828" s="28"/>
    </row>
    <row r="829" spans="1:64" ht="12.75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  <c r="BC829" s="28"/>
      <c r="BD829" s="28"/>
      <c r="BE829" s="28"/>
      <c r="BF829" s="28"/>
      <c r="BG829" s="28"/>
      <c r="BH829" s="28"/>
      <c r="BI829" s="28"/>
      <c r="BJ829" s="28"/>
      <c r="BK829" s="28"/>
      <c r="BL829" s="28"/>
    </row>
    <row r="830" spans="1:64" ht="12.75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  <c r="BC830" s="28"/>
      <c r="BD830" s="28"/>
      <c r="BE830" s="28"/>
      <c r="BF830" s="28"/>
      <c r="BG830" s="28"/>
      <c r="BH830" s="28"/>
      <c r="BI830" s="28"/>
      <c r="BJ830" s="28"/>
      <c r="BK830" s="28"/>
      <c r="BL830" s="28"/>
    </row>
    <row r="831" spans="1:64" ht="12.75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  <c r="BC831" s="28"/>
      <c r="BD831" s="28"/>
      <c r="BE831" s="28"/>
      <c r="BF831" s="28"/>
      <c r="BG831" s="28"/>
      <c r="BH831" s="28"/>
      <c r="BI831" s="28"/>
      <c r="BJ831" s="28"/>
      <c r="BK831" s="28"/>
      <c r="BL831" s="28"/>
    </row>
    <row r="832" spans="1:64" ht="12.75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  <c r="BC832" s="28"/>
      <c r="BD832" s="28"/>
      <c r="BE832" s="28"/>
      <c r="BF832" s="28"/>
      <c r="BG832" s="28"/>
      <c r="BH832" s="28"/>
      <c r="BI832" s="28"/>
      <c r="BJ832" s="28"/>
      <c r="BK832" s="28"/>
      <c r="BL832" s="28"/>
    </row>
    <row r="833" spans="1:64" ht="12.75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  <c r="BC833" s="28"/>
      <c r="BD833" s="28"/>
      <c r="BE833" s="28"/>
      <c r="BF833" s="28"/>
      <c r="BG833" s="28"/>
      <c r="BH833" s="28"/>
      <c r="BI833" s="28"/>
      <c r="BJ833" s="28"/>
      <c r="BK833" s="28"/>
      <c r="BL833" s="28"/>
    </row>
    <row r="834" spans="1:64" ht="12.75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  <c r="BC834" s="28"/>
      <c r="BD834" s="28"/>
      <c r="BE834" s="28"/>
      <c r="BF834" s="28"/>
      <c r="BG834" s="28"/>
      <c r="BH834" s="28"/>
      <c r="BI834" s="28"/>
      <c r="BJ834" s="28"/>
      <c r="BK834" s="28"/>
      <c r="BL834" s="28"/>
    </row>
    <row r="835" spans="1:64" ht="12.7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  <c r="BC835" s="28"/>
      <c r="BD835" s="28"/>
      <c r="BE835" s="28"/>
      <c r="BF835" s="28"/>
      <c r="BG835" s="28"/>
      <c r="BH835" s="28"/>
      <c r="BI835" s="28"/>
      <c r="BJ835" s="28"/>
      <c r="BK835" s="28"/>
      <c r="BL835" s="28"/>
    </row>
    <row r="836" spans="1:64" ht="12.75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  <c r="BC836" s="28"/>
      <c r="BD836" s="28"/>
      <c r="BE836" s="28"/>
      <c r="BF836" s="28"/>
      <c r="BG836" s="28"/>
      <c r="BH836" s="28"/>
      <c r="BI836" s="28"/>
      <c r="BJ836" s="28"/>
      <c r="BK836" s="28"/>
      <c r="BL836" s="28"/>
    </row>
    <row r="837" spans="1:64" ht="12.75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  <c r="BC837" s="28"/>
      <c r="BD837" s="28"/>
      <c r="BE837" s="28"/>
      <c r="BF837" s="28"/>
      <c r="BG837" s="28"/>
      <c r="BH837" s="28"/>
      <c r="BI837" s="28"/>
      <c r="BJ837" s="28"/>
      <c r="BK837" s="28"/>
      <c r="BL837" s="28"/>
    </row>
    <row r="838" spans="1:64" ht="12.75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  <c r="BC838" s="28"/>
      <c r="BD838" s="28"/>
      <c r="BE838" s="28"/>
      <c r="BF838" s="28"/>
      <c r="BG838" s="28"/>
      <c r="BH838" s="28"/>
      <c r="BI838" s="28"/>
      <c r="BJ838" s="28"/>
      <c r="BK838" s="28"/>
      <c r="BL838" s="28"/>
    </row>
    <row r="839" spans="1:64" ht="12.75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  <c r="BC839" s="28"/>
      <c r="BD839" s="28"/>
      <c r="BE839" s="28"/>
      <c r="BF839" s="28"/>
      <c r="BG839" s="28"/>
      <c r="BH839" s="28"/>
      <c r="BI839" s="28"/>
      <c r="BJ839" s="28"/>
      <c r="BK839" s="28"/>
      <c r="BL839" s="28"/>
    </row>
    <row r="840" spans="1:64" ht="12.75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  <c r="BC840" s="28"/>
      <c r="BD840" s="28"/>
      <c r="BE840" s="28"/>
      <c r="BF840" s="28"/>
      <c r="BG840" s="28"/>
      <c r="BH840" s="28"/>
      <c r="BI840" s="28"/>
      <c r="BJ840" s="28"/>
      <c r="BK840" s="28"/>
      <c r="BL840" s="28"/>
    </row>
    <row r="841" spans="1:64" ht="12.75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  <c r="BC841" s="28"/>
      <c r="BD841" s="28"/>
      <c r="BE841" s="28"/>
      <c r="BF841" s="28"/>
      <c r="BG841" s="28"/>
      <c r="BH841" s="28"/>
      <c r="BI841" s="28"/>
      <c r="BJ841" s="28"/>
      <c r="BK841" s="28"/>
      <c r="BL841" s="28"/>
    </row>
    <row r="842" spans="1:64" ht="12.75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  <c r="BC842" s="28"/>
      <c r="BD842" s="28"/>
      <c r="BE842" s="28"/>
      <c r="BF842" s="28"/>
      <c r="BG842" s="28"/>
      <c r="BH842" s="28"/>
      <c r="BI842" s="28"/>
      <c r="BJ842" s="28"/>
      <c r="BK842" s="28"/>
      <c r="BL842" s="28"/>
    </row>
    <row r="843" spans="1:64" ht="12.75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  <c r="BC843" s="28"/>
      <c r="BD843" s="28"/>
      <c r="BE843" s="28"/>
      <c r="BF843" s="28"/>
      <c r="BG843" s="28"/>
      <c r="BH843" s="28"/>
      <c r="BI843" s="28"/>
      <c r="BJ843" s="28"/>
      <c r="BK843" s="28"/>
      <c r="BL843" s="28"/>
    </row>
    <row r="844" spans="1:64" ht="12.75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  <c r="BC844" s="28"/>
      <c r="BD844" s="28"/>
      <c r="BE844" s="28"/>
      <c r="BF844" s="28"/>
      <c r="BG844" s="28"/>
      <c r="BH844" s="28"/>
      <c r="BI844" s="28"/>
      <c r="BJ844" s="28"/>
      <c r="BK844" s="28"/>
      <c r="BL844" s="28"/>
    </row>
    <row r="845" spans="1:64" ht="12.7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  <c r="BC845" s="28"/>
      <c r="BD845" s="28"/>
      <c r="BE845" s="28"/>
      <c r="BF845" s="28"/>
      <c r="BG845" s="28"/>
      <c r="BH845" s="28"/>
      <c r="BI845" s="28"/>
      <c r="BJ845" s="28"/>
      <c r="BK845" s="28"/>
      <c r="BL845" s="28"/>
    </row>
    <row r="846" spans="1:64" ht="12.75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  <c r="BC846" s="28"/>
      <c r="BD846" s="28"/>
      <c r="BE846" s="28"/>
      <c r="BF846" s="28"/>
      <c r="BG846" s="28"/>
      <c r="BH846" s="28"/>
      <c r="BI846" s="28"/>
      <c r="BJ846" s="28"/>
      <c r="BK846" s="28"/>
      <c r="BL846" s="28"/>
    </row>
    <row r="847" spans="1:64" ht="12.75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  <c r="BC847" s="28"/>
      <c r="BD847" s="28"/>
      <c r="BE847" s="28"/>
      <c r="BF847" s="28"/>
      <c r="BG847" s="28"/>
      <c r="BH847" s="28"/>
      <c r="BI847" s="28"/>
      <c r="BJ847" s="28"/>
      <c r="BK847" s="28"/>
      <c r="BL847" s="28"/>
    </row>
    <row r="848" spans="1:64" ht="12.75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  <c r="BC848" s="28"/>
      <c r="BD848" s="28"/>
      <c r="BE848" s="28"/>
      <c r="BF848" s="28"/>
      <c r="BG848" s="28"/>
      <c r="BH848" s="28"/>
      <c r="BI848" s="28"/>
      <c r="BJ848" s="28"/>
      <c r="BK848" s="28"/>
      <c r="BL848" s="28"/>
    </row>
    <row r="849" spans="1:64" ht="12.75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  <c r="BC849" s="28"/>
      <c r="BD849" s="28"/>
      <c r="BE849" s="28"/>
      <c r="BF849" s="28"/>
      <c r="BG849" s="28"/>
      <c r="BH849" s="28"/>
      <c r="BI849" s="28"/>
      <c r="BJ849" s="28"/>
      <c r="BK849" s="28"/>
      <c r="BL849" s="28"/>
    </row>
    <row r="850" spans="1:64" ht="12.75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  <c r="BC850" s="28"/>
      <c r="BD850" s="28"/>
      <c r="BE850" s="28"/>
      <c r="BF850" s="28"/>
      <c r="BG850" s="28"/>
      <c r="BH850" s="28"/>
      <c r="BI850" s="28"/>
      <c r="BJ850" s="28"/>
      <c r="BK850" s="28"/>
      <c r="BL850" s="28"/>
    </row>
    <row r="851" spans="1:64" ht="12.75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  <c r="BC851" s="28"/>
      <c r="BD851" s="28"/>
      <c r="BE851" s="28"/>
      <c r="BF851" s="28"/>
      <c r="BG851" s="28"/>
      <c r="BH851" s="28"/>
      <c r="BI851" s="28"/>
      <c r="BJ851" s="28"/>
      <c r="BK851" s="28"/>
      <c r="BL851" s="28"/>
    </row>
    <row r="852" spans="1:64" ht="12.75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  <c r="BC852" s="28"/>
      <c r="BD852" s="28"/>
      <c r="BE852" s="28"/>
      <c r="BF852" s="28"/>
      <c r="BG852" s="28"/>
      <c r="BH852" s="28"/>
      <c r="BI852" s="28"/>
      <c r="BJ852" s="28"/>
      <c r="BK852" s="28"/>
      <c r="BL852" s="28"/>
    </row>
    <row r="853" spans="1:64" ht="12.75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  <c r="BC853" s="28"/>
      <c r="BD853" s="28"/>
      <c r="BE853" s="28"/>
      <c r="BF853" s="28"/>
      <c r="BG853" s="28"/>
      <c r="BH853" s="28"/>
      <c r="BI853" s="28"/>
      <c r="BJ853" s="28"/>
      <c r="BK853" s="28"/>
      <c r="BL853" s="28"/>
    </row>
    <row r="854" spans="1:64" ht="12.75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  <c r="BC854" s="28"/>
      <c r="BD854" s="28"/>
      <c r="BE854" s="28"/>
      <c r="BF854" s="28"/>
      <c r="BG854" s="28"/>
      <c r="BH854" s="28"/>
      <c r="BI854" s="28"/>
      <c r="BJ854" s="28"/>
      <c r="BK854" s="28"/>
      <c r="BL854" s="28"/>
    </row>
    <row r="855" spans="1:64" ht="12.7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  <c r="BC855" s="28"/>
      <c r="BD855" s="28"/>
      <c r="BE855" s="28"/>
      <c r="BF855" s="28"/>
      <c r="BG855" s="28"/>
      <c r="BH855" s="28"/>
      <c r="BI855" s="28"/>
      <c r="BJ855" s="28"/>
      <c r="BK855" s="28"/>
      <c r="BL855" s="28"/>
    </row>
    <row r="856" spans="1:64" ht="12.75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  <c r="BC856" s="28"/>
      <c r="BD856" s="28"/>
      <c r="BE856" s="28"/>
      <c r="BF856" s="28"/>
      <c r="BG856" s="28"/>
      <c r="BH856" s="28"/>
      <c r="BI856" s="28"/>
      <c r="BJ856" s="28"/>
      <c r="BK856" s="28"/>
      <c r="BL856" s="28"/>
    </row>
    <row r="857" spans="1:64" ht="12.75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  <c r="BC857" s="28"/>
      <c r="BD857" s="28"/>
      <c r="BE857" s="28"/>
      <c r="BF857" s="28"/>
      <c r="BG857" s="28"/>
      <c r="BH857" s="28"/>
      <c r="BI857" s="28"/>
      <c r="BJ857" s="28"/>
      <c r="BK857" s="28"/>
      <c r="BL857" s="28"/>
    </row>
    <row r="858" spans="1:64" ht="12.75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  <c r="BC858" s="28"/>
      <c r="BD858" s="28"/>
      <c r="BE858" s="28"/>
      <c r="BF858" s="28"/>
      <c r="BG858" s="28"/>
      <c r="BH858" s="28"/>
      <c r="BI858" s="28"/>
      <c r="BJ858" s="28"/>
      <c r="BK858" s="28"/>
      <c r="BL858" s="28"/>
    </row>
    <row r="859" spans="1:64" ht="12.75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  <c r="BC859" s="28"/>
      <c r="BD859" s="28"/>
      <c r="BE859" s="28"/>
      <c r="BF859" s="28"/>
      <c r="BG859" s="28"/>
      <c r="BH859" s="28"/>
      <c r="BI859" s="28"/>
      <c r="BJ859" s="28"/>
      <c r="BK859" s="28"/>
      <c r="BL859" s="28"/>
    </row>
    <row r="860" spans="1:64" ht="12.75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  <c r="BC860" s="28"/>
      <c r="BD860" s="28"/>
      <c r="BE860" s="28"/>
      <c r="BF860" s="28"/>
      <c r="BG860" s="28"/>
      <c r="BH860" s="28"/>
      <c r="BI860" s="28"/>
      <c r="BJ860" s="28"/>
      <c r="BK860" s="28"/>
      <c r="BL860" s="28"/>
    </row>
    <row r="861" spans="1:64" ht="12.75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  <c r="BC861" s="28"/>
      <c r="BD861" s="28"/>
      <c r="BE861" s="28"/>
      <c r="BF861" s="28"/>
      <c r="BG861" s="28"/>
      <c r="BH861" s="28"/>
      <c r="BI861" s="28"/>
      <c r="BJ861" s="28"/>
      <c r="BK861" s="28"/>
      <c r="BL861" s="28"/>
    </row>
    <row r="862" spans="1:64" ht="12.75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  <c r="BC862" s="28"/>
      <c r="BD862" s="28"/>
      <c r="BE862" s="28"/>
      <c r="BF862" s="28"/>
      <c r="BG862" s="28"/>
      <c r="BH862" s="28"/>
      <c r="BI862" s="28"/>
      <c r="BJ862" s="28"/>
      <c r="BK862" s="28"/>
      <c r="BL862" s="28"/>
    </row>
    <row r="863" spans="1:64" ht="12.75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  <c r="BC863" s="28"/>
      <c r="BD863" s="28"/>
      <c r="BE863" s="28"/>
      <c r="BF863" s="28"/>
      <c r="BG863" s="28"/>
      <c r="BH863" s="28"/>
      <c r="BI863" s="28"/>
      <c r="BJ863" s="28"/>
      <c r="BK863" s="28"/>
      <c r="BL863" s="28"/>
    </row>
    <row r="864" spans="1:64" ht="12.75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  <c r="BC864" s="28"/>
      <c r="BD864" s="28"/>
      <c r="BE864" s="28"/>
      <c r="BF864" s="28"/>
      <c r="BG864" s="28"/>
      <c r="BH864" s="28"/>
      <c r="BI864" s="28"/>
      <c r="BJ864" s="28"/>
      <c r="BK864" s="28"/>
      <c r="BL864" s="28"/>
    </row>
    <row r="865" spans="1:64" ht="12.7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  <c r="BC865" s="28"/>
      <c r="BD865" s="28"/>
      <c r="BE865" s="28"/>
      <c r="BF865" s="28"/>
      <c r="BG865" s="28"/>
      <c r="BH865" s="28"/>
      <c r="BI865" s="28"/>
      <c r="BJ865" s="28"/>
      <c r="BK865" s="28"/>
      <c r="BL865" s="28"/>
    </row>
    <row r="866" spans="1:64" ht="12.75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  <c r="BC866" s="28"/>
      <c r="BD866" s="28"/>
      <c r="BE866" s="28"/>
      <c r="BF866" s="28"/>
      <c r="BG866" s="28"/>
      <c r="BH866" s="28"/>
      <c r="BI866" s="28"/>
      <c r="BJ866" s="28"/>
      <c r="BK866" s="28"/>
      <c r="BL866" s="28"/>
    </row>
    <row r="867" spans="1:64" ht="12.75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  <c r="BC867" s="28"/>
      <c r="BD867" s="28"/>
      <c r="BE867" s="28"/>
      <c r="BF867" s="28"/>
      <c r="BG867" s="28"/>
      <c r="BH867" s="28"/>
      <c r="BI867" s="28"/>
      <c r="BJ867" s="28"/>
      <c r="BK867" s="28"/>
      <c r="BL867" s="28"/>
    </row>
    <row r="868" spans="1:64" ht="12.75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  <c r="BC868" s="28"/>
      <c r="BD868" s="28"/>
      <c r="BE868" s="28"/>
      <c r="BF868" s="28"/>
      <c r="BG868" s="28"/>
      <c r="BH868" s="28"/>
      <c r="BI868" s="28"/>
      <c r="BJ868" s="28"/>
      <c r="BK868" s="28"/>
      <c r="BL868" s="28"/>
    </row>
    <row r="869" spans="1:64" ht="12.75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  <c r="BC869" s="28"/>
      <c r="BD869" s="28"/>
      <c r="BE869" s="28"/>
      <c r="BF869" s="28"/>
      <c r="BG869" s="28"/>
      <c r="BH869" s="28"/>
      <c r="BI869" s="28"/>
      <c r="BJ869" s="28"/>
      <c r="BK869" s="28"/>
      <c r="BL869" s="28"/>
    </row>
    <row r="870" spans="1:64" ht="12.75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  <c r="BC870" s="28"/>
      <c r="BD870" s="28"/>
      <c r="BE870" s="28"/>
      <c r="BF870" s="28"/>
      <c r="BG870" s="28"/>
      <c r="BH870" s="28"/>
      <c r="BI870" s="28"/>
      <c r="BJ870" s="28"/>
      <c r="BK870" s="28"/>
      <c r="BL870" s="28"/>
    </row>
    <row r="871" spans="1:64" ht="12.75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  <c r="BC871" s="28"/>
      <c r="BD871" s="28"/>
      <c r="BE871" s="28"/>
      <c r="BF871" s="28"/>
      <c r="BG871" s="28"/>
      <c r="BH871" s="28"/>
      <c r="BI871" s="28"/>
      <c r="BJ871" s="28"/>
      <c r="BK871" s="28"/>
      <c r="BL871" s="28"/>
    </row>
    <row r="872" spans="1:64" ht="12.75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  <c r="BC872" s="28"/>
      <c r="BD872" s="28"/>
      <c r="BE872" s="28"/>
      <c r="BF872" s="28"/>
      <c r="BG872" s="28"/>
      <c r="BH872" s="28"/>
      <c r="BI872" s="28"/>
      <c r="BJ872" s="28"/>
      <c r="BK872" s="28"/>
      <c r="BL872" s="28"/>
    </row>
    <row r="873" spans="1:64" ht="12.75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  <c r="BC873" s="28"/>
      <c r="BD873" s="28"/>
      <c r="BE873" s="28"/>
      <c r="BF873" s="28"/>
      <c r="BG873" s="28"/>
      <c r="BH873" s="28"/>
      <c r="BI873" s="28"/>
      <c r="BJ873" s="28"/>
      <c r="BK873" s="28"/>
      <c r="BL873" s="28"/>
    </row>
    <row r="874" spans="1:64" ht="12.75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  <c r="BC874" s="28"/>
      <c r="BD874" s="28"/>
      <c r="BE874" s="28"/>
      <c r="BF874" s="28"/>
      <c r="BG874" s="28"/>
      <c r="BH874" s="28"/>
      <c r="BI874" s="28"/>
      <c r="BJ874" s="28"/>
      <c r="BK874" s="28"/>
      <c r="BL874" s="28"/>
    </row>
    <row r="875" spans="1:64" ht="12.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  <c r="BC875" s="28"/>
      <c r="BD875" s="28"/>
      <c r="BE875" s="28"/>
      <c r="BF875" s="28"/>
      <c r="BG875" s="28"/>
      <c r="BH875" s="28"/>
      <c r="BI875" s="28"/>
      <c r="BJ875" s="28"/>
      <c r="BK875" s="28"/>
      <c r="BL875" s="28"/>
    </row>
    <row r="876" spans="1:64" ht="12.75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  <c r="BC876" s="28"/>
      <c r="BD876" s="28"/>
      <c r="BE876" s="28"/>
      <c r="BF876" s="28"/>
      <c r="BG876" s="28"/>
      <c r="BH876" s="28"/>
      <c r="BI876" s="28"/>
      <c r="BJ876" s="28"/>
      <c r="BK876" s="28"/>
      <c r="BL876" s="28"/>
    </row>
    <row r="877" spans="1:64" ht="12.75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  <c r="BC877" s="28"/>
      <c r="BD877" s="28"/>
      <c r="BE877" s="28"/>
      <c r="BF877" s="28"/>
      <c r="BG877" s="28"/>
      <c r="BH877" s="28"/>
      <c r="BI877" s="28"/>
      <c r="BJ877" s="28"/>
      <c r="BK877" s="28"/>
      <c r="BL877" s="28"/>
    </row>
    <row r="878" spans="1:64" ht="12.75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  <c r="BC878" s="28"/>
      <c r="BD878" s="28"/>
      <c r="BE878" s="28"/>
      <c r="BF878" s="28"/>
      <c r="BG878" s="28"/>
      <c r="BH878" s="28"/>
      <c r="BI878" s="28"/>
      <c r="BJ878" s="28"/>
      <c r="BK878" s="28"/>
      <c r="BL878" s="28"/>
    </row>
    <row r="879" spans="1:64" ht="12.75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  <c r="BC879" s="28"/>
      <c r="BD879" s="28"/>
      <c r="BE879" s="28"/>
      <c r="BF879" s="28"/>
      <c r="BG879" s="28"/>
      <c r="BH879" s="28"/>
      <c r="BI879" s="28"/>
      <c r="BJ879" s="28"/>
      <c r="BK879" s="28"/>
      <c r="BL879" s="28"/>
    </row>
    <row r="880" spans="1:64" ht="12.75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  <c r="BC880" s="28"/>
      <c r="BD880" s="28"/>
      <c r="BE880" s="28"/>
      <c r="BF880" s="28"/>
      <c r="BG880" s="28"/>
      <c r="BH880" s="28"/>
      <c r="BI880" s="28"/>
      <c r="BJ880" s="28"/>
      <c r="BK880" s="28"/>
      <c r="BL880" s="28"/>
    </row>
    <row r="881" spans="1:64" ht="12.75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  <c r="BC881" s="28"/>
      <c r="BD881" s="28"/>
      <c r="BE881" s="28"/>
      <c r="BF881" s="28"/>
      <c r="BG881" s="28"/>
      <c r="BH881" s="28"/>
      <c r="BI881" s="28"/>
      <c r="BJ881" s="28"/>
      <c r="BK881" s="28"/>
      <c r="BL881" s="28"/>
    </row>
    <row r="882" spans="1:64" ht="12.75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  <c r="BC882" s="28"/>
      <c r="BD882" s="28"/>
      <c r="BE882" s="28"/>
      <c r="BF882" s="28"/>
      <c r="BG882" s="28"/>
      <c r="BH882" s="28"/>
      <c r="BI882" s="28"/>
      <c r="BJ882" s="28"/>
      <c r="BK882" s="28"/>
      <c r="BL882" s="28"/>
    </row>
    <row r="883" spans="1:64" ht="12.75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  <c r="BC883" s="28"/>
      <c r="BD883" s="28"/>
      <c r="BE883" s="28"/>
      <c r="BF883" s="28"/>
      <c r="BG883" s="28"/>
      <c r="BH883" s="28"/>
      <c r="BI883" s="28"/>
      <c r="BJ883" s="28"/>
      <c r="BK883" s="28"/>
      <c r="BL883" s="28"/>
    </row>
    <row r="884" spans="1:64" ht="12.75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  <c r="BC884" s="28"/>
      <c r="BD884" s="28"/>
      <c r="BE884" s="28"/>
      <c r="BF884" s="28"/>
      <c r="BG884" s="28"/>
      <c r="BH884" s="28"/>
      <c r="BI884" s="28"/>
      <c r="BJ884" s="28"/>
      <c r="BK884" s="28"/>
      <c r="BL884" s="28"/>
    </row>
    <row r="885" spans="1:64" ht="12.7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  <c r="BC885" s="28"/>
      <c r="BD885" s="28"/>
      <c r="BE885" s="28"/>
      <c r="BF885" s="28"/>
      <c r="BG885" s="28"/>
      <c r="BH885" s="28"/>
      <c r="BI885" s="28"/>
      <c r="BJ885" s="28"/>
      <c r="BK885" s="28"/>
      <c r="BL885" s="28"/>
    </row>
    <row r="886" spans="1:64" ht="12.75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  <c r="BC886" s="28"/>
      <c r="BD886" s="28"/>
      <c r="BE886" s="28"/>
      <c r="BF886" s="28"/>
      <c r="BG886" s="28"/>
      <c r="BH886" s="28"/>
      <c r="BI886" s="28"/>
      <c r="BJ886" s="28"/>
      <c r="BK886" s="28"/>
      <c r="BL886" s="28"/>
    </row>
    <row r="887" spans="1:64" ht="12.75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  <c r="BC887" s="28"/>
      <c r="BD887" s="28"/>
      <c r="BE887" s="28"/>
      <c r="BF887" s="28"/>
      <c r="BG887" s="28"/>
      <c r="BH887" s="28"/>
      <c r="BI887" s="28"/>
      <c r="BJ887" s="28"/>
      <c r="BK887" s="28"/>
      <c r="BL887" s="28"/>
    </row>
    <row r="888" spans="1:64" ht="12.75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  <c r="BC888" s="28"/>
      <c r="BD888" s="28"/>
      <c r="BE888" s="28"/>
      <c r="BF888" s="28"/>
      <c r="BG888" s="28"/>
      <c r="BH888" s="28"/>
      <c r="BI888" s="28"/>
      <c r="BJ888" s="28"/>
      <c r="BK888" s="28"/>
      <c r="BL888" s="28"/>
    </row>
    <row r="889" spans="1:64" ht="12.75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  <c r="BC889" s="28"/>
      <c r="BD889" s="28"/>
      <c r="BE889" s="28"/>
      <c r="BF889" s="28"/>
      <c r="BG889" s="28"/>
      <c r="BH889" s="28"/>
      <c r="BI889" s="28"/>
      <c r="BJ889" s="28"/>
      <c r="BK889" s="28"/>
      <c r="BL889" s="28"/>
    </row>
    <row r="890" spans="1:64" ht="12.75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  <c r="BC890" s="28"/>
      <c r="BD890" s="28"/>
      <c r="BE890" s="28"/>
      <c r="BF890" s="28"/>
      <c r="BG890" s="28"/>
      <c r="BH890" s="28"/>
      <c r="BI890" s="28"/>
      <c r="BJ890" s="28"/>
      <c r="BK890" s="28"/>
      <c r="BL890" s="28"/>
    </row>
    <row r="891" spans="1:64" ht="12.75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  <c r="BC891" s="28"/>
      <c r="BD891" s="28"/>
      <c r="BE891" s="28"/>
      <c r="BF891" s="28"/>
      <c r="BG891" s="28"/>
      <c r="BH891" s="28"/>
      <c r="BI891" s="28"/>
      <c r="BJ891" s="28"/>
      <c r="BK891" s="28"/>
      <c r="BL891" s="28"/>
    </row>
    <row r="892" spans="1:64" ht="12.75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  <c r="BC892" s="28"/>
      <c r="BD892" s="28"/>
      <c r="BE892" s="28"/>
      <c r="BF892" s="28"/>
      <c r="BG892" s="28"/>
      <c r="BH892" s="28"/>
      <c r="BI892" s="28"/>
      <c r="BJ892" s="28"/>
      <c r="BK892" s="28"/>
      <c r="BL892" s="28"/>
    </row>
    <row r="893" spans="1:64" ht="12.75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  <c r="BC893" s="28"/>
      <c r="BD893" s="28"/>
      <c r="BE893" s="28"/>
      <c r="BF893" s="28"/>
      <c r="BG893" s="28"/>
      <c r="BH893" s="28"/>
      <c r="BI893" s="28"/>
      <c r="BJ893" s="28"/>
      <c r="BK893" s="28"/>
      <c r="BL893" s="28"/>
    </row>
    <row r="894" spans="1:64" ht="12.75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  <c r="BC894" s="28"/>
      <c r="BD894" s="28"/>
      <c r="BE894" s="28"/>
      <c r="BF894" s="28"/>
      <c r="BG894" s="28"/>
      <c r="BH894" s="28"/>
      <c r="BI894" s="28"/>
      <c r="BJ894" s="28"/>
      <c r="BK894" s="28"/>
      <c r="BL894" s="28"/>
    </row>
    <row r="895" spans="1:64" ht="12.7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  <c r="BC895" s="28"/>
      <c r="BD895" s="28"/>
      <c r="BE895" s="28"/>
      <c r="BF895" s="28"/>
      <c r="BG895" s="28"/>
      <c r="BH895" s="28"/>
      <c r="BI895" s="28"/>
      <c r="BJ895" s="28"/>
      <c r="BK895" s="28"/>
      <c r="BL895" s="28"/>
    </row>
    <row r="896" spans="1:64" ht="12.75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  <c r="BC896" s="28"/>
      <c r="BD896" s="28"/>
      <c r="BE896" s="28"/>
      <c r="BF896" s="28"/>
      <c r="BG896" s="28"/>
      <c r="BH896" s="28"/>
      <c r="BI896" s="28"/>
      <c r="BJ896" s="28"/>
      <c r="BK896" s="28"/>
      <c r="BL896" s="28"/>
    </row>
    <row r="897" spans="1:64" ht="12.75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  <c r="BC897" s="28"/>
      <c r="BD897" s="28"/>
      <c r="BE897" s="28"/>
      <c r="BF897" s="28"/>
      <c r="BG897" s="28"/>
      <c r="BH897" s="28"/>
      <c r="BI897" s="28"/>
      <c r="BJ897" s="28"/>
      <c r="BK897" s="28"/>
      <c r="BL897" s="28"/>
    </row>
    <row r="898" spans="1:64" ht="12.75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  <c r="BC898" s="28"/>
      <c r="BD898" s="28"/>
      <c r="BE898" s="28"/>
      <c r="BF898" s="28"/>
      <c r="BG898" s="28"/>
      <c r="BH898" s="28"/>
      <c r="BI898" s="28"/>
      <c r="BJ898" s="28"/>
      <c r="BK898" s="28"/>
      <c r="BL898" s="28"/>
    </row>
    <row r="899" spans="1:64" ht="12.75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  <c r="BC899" s="28"/>
      <c r="BD899" s="28"/>
      <c r="BE899" s="28"/>
      <c r="BF899" s="28"/>
      <c r="BG899" s="28"/>
      <c r="BH899" s="28"/>
      <c r="BI899" s="28"/>
      <c r="BJ899" s="28"/>
      <c r="BK899" s="28"/>
      <c r="BL899" s="28"/>
    </row>
    <row r="900" spans="1:64" ht="12.75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  <c r="BC900" s="28"/>
      <c r="BD900" s="28"/>
      <c r="BE900" s="28"/>
      <c r="BF900" s="28"/>
      <c r="BG900" s="28"/>
      <c r="BH900" s="28"/>
      <c r="BI900" s="28"/>
      <c r="BJ900" s="28"/>
      <c r="BK900" s="28"/>
      <c r="BL900" s="28"/>
    </row>
    <row r="901" spans="1:64" ht="12.75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  <c r="BC901" s="28"/>
      <c r="BD901" s="28"/>
      <c r="BE901" s="28"/>
      <c r="BF901" s="28"/>
      <c r="BG901" s="28"/>
      <c r="BH901" s="28"/>
      <c r="BI901" s="28"/>
      <c r="BJ901" s="28"/>
      <c r="BK901" s="28"/>
      <c r="BL901" s="28"/>
    </row>
    <row r="902" spans="1:64" ht="12.75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  <c r="BC902" s="28"/>
      <c r="BD902" s="28"/>
      <c r="BE902" s="28"/>
      <c r="BF902" s="28"/>
      <c r="BG902" s="28"/>
      <c r="BH902" s="28"/>
      <c r="BI902" s="28"/>
      <c r="BJ902" s="28"/>
      <c r="BK902" s="28"/>
      <c r="BL902" s="28"/>
    </row>
    <row r="903" spans="1:64" ht="12.75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  <c r="BC903" s="28"/>
      <c r="BD903" s="28"/>
      <c r="BE903" s="28"/>
      <c r="BF903" s="28"/>
      <c r="BG903" s="28"/>
      <c r="BH903" s="28"/>
      <c r="BI903" s="28"/>
      <c r="BJ903" s="28"/>
      <c r="BK903" s="28"/>
      <c r="BL903" s="28"/>
    </row>
    <row r="904" spans="1:64" ht="12.75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  <c r="BC904" s="28"/>
      <c r="BD904" s="28"/>
      <c r="BE904" s="28"/>
      <c r="BF904" s="28"/>
      <c r="BG904" s="28"/>
      <c r="BH904" s="28"/>
      <c r="BI904" s="28"/>
      <c r="BJ904" s="28"/>
      <c r="BK904" s="28"/>
      <c r="BL904" s="28"/>
    </row>
    <row r="905" spans="1:64" ht="12.7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  <c r="BC905" s="28"/>
      <c r="BD905" s="28"/>
      <c r="BE905" s="28"/>
      <c r="BF905" s="28"/>
      <c r="BG905" s="28"/>
      <c r="BH905" s="28"/>
      <c r="BI905" s="28"/>
      <c r="BJ905" s="28"/>
      <c r="BK905" s="28"/>
      <c r="BL905" s="28"/>
    </row>
    <row r="906" spans="1:64" ht="12.75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  <c r="BC906" s="28"/>
      <c r="BD906" s="28"/>
      <c r="BE906" s="28"/>
      <c r="BF906" s="28"/>
      <c r="BG906" s="28"/>
      <c r="BH906" s="28"/>
      <c r="BI906" s="28"/>
      <c r="BJ906" s="28"/>
      <c r="BK906" s="28"/>
      <c r="BL906" s="28"/>
    </row>
    <row r="907" spans="1:64" ht="12.75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  <c r="BC907" s="28"/>
      <c r="BD907" s="28"/>
      <c r="BE907" s="28"/>
      <c r="BF907" s="28"/>
      <c r="BG907" s="28"/>
      <c r="BH907" s="28"/>
      <c r="BI907" s="28"/>
      <c r="BJ907" s="28"/>
      <c r="BK907" s="28"/>
      <c r="BL907" s="28"/>
    </row>
    <row r="908" spans="1:64" ht="12.75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  <c r="BC908" s="28"/>
      <c r="BD908" s="28"/>
      <c r="BE908" s="28"/>
      <c r="BF908" s="28"/>
      <c r="BG908" s="28"/>
      <c r="BH908" s="28"/>
      <c r="BI908" s="28"/>
      <c r="BJ908" s="28"/>
      <c r="BK908" s="28"/>
      <c r="BL908" s="28"/>
    </row>
    <row r="909" spans="1:64" ht="12.75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  <c r="BC909" s="28"/>
      <c r="BD909" s="28"/>
      <c r="BE909" s="28"/>
      <c r="BF909" s="28"/>
      <c r="BG909" s="28"/>
      <c r="BH909" s="28"/>
      <c r="BI909" s="28"/>
      <c r="BJ909" s="28"/>
      <c r="BK909" s="28"/>
      <c r="BL909" s="28"/>
    </row>
    <row r="910" spans="1:64" ht="12.75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  <c r="BC910" s="28"/>
      <c r="BD910" s="28"/>
      <c r="BE910" s="28"/>
      <c r="BF910" s="28"/>
      <c r="BG910" s="28"/>
      <c r="BH910" s="28"/>
      <c r="BI910" s="28"/>
      <c r="BJ910" s="28"/>
      <c r="BK910" s="28"/>
      <c r="BL910" s="28"/>
    </row>
    <row r="911" spans="1:64" ht="12.75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  <c r="BC911" s="28"/>
      <c r="BD911" s="28"/>
      <c r="BE911" s="28"/>
      <c r="BF911" s="28"/>
      <c r="BG911" s="28"/>
      <c r="BH911" s="28"/>
      <c r="BI911" s="28"/>
      <c r="BJ911" s="28"/>
      <c r="BK911" s="28"/>
      <c r="BL911" s="28"/>
    </row>
    <row r="912" spans="1:64" ht="12.75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  <c r="BC912" s="28"/>
      <c r="BD912" s="28"/>
      <c r="BE912" s="28"/>
      <c r="BF912" s="28"/>
      <c r="BG912" s="28"/>
      <c r="BH912" s="28"/>
      <c r="BI912" s="28"/>
      <c r="BJ912" s="28"/>
      <c r="BK912" s="28"/>
      <c r="BL912" s="28"/>
    </row>
    <row r="913" spans="1:64" ht="12.75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  <c r="BC913" s="28"/>
      <c r="BD913" s="28"/>
      <c r="BE913" s="28"/>
      <c r="BF913" s="28"/>
      <c r="BG913" s="28"/>
      <c r="BH913" s="28"/>
      <c r="BI913" s="28"/>
      <c r="BJ913" s="28"/>
      <c r="BK913" s="28"/>
      <c r="BL913" s="28"/>
    </row>
    <row r="914" spans="1:64" ht="12.75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  <c r="BC914" s="28"/>
      <c r="BD914" s="28"/>
      <c r="BE914" s="28"/>
      <c r="BF914" s="28"/>
      <c r="BG914" s="28"/>
      <c r="BH914" s="28"/>
      <c r="BI914" s="28"/>
      <c r="BJ914" s="28"/>
      <c r="BK914" s="28"/>
      <c r="BL914" s="28"/>
    </row>
    <row r="915" spans="1:64" ht="12.7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  <c r="BC915" s="28"/>
      <c r="BD915" s="28"/>
      <c r="BE915" s="28"/>
      <c r="BF915" s="28"/>
      <c r="BG915" s="28"/>
      <c r="BH915" s="28"/>
      <c r="BI915" s="28"/>
      <c r="BJ915" s="28"/>
      <c r="BK915" s="28"/>
      <c r="BL915" s="28"/>
    </row>
    <row r="916" spans="1:64" ht="12.75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  <c r="BC916" s="28"/>
      <c r="BD916" s="28"/>
      <c r="BE916" s="28"/>
      <c r="BF916" s="28"/>
      <c r="BG916" s="28"/>
      <c r="BH916" s="28"/>
      <c r="BI916" s="28"/>
      <c r="BJ916" s="28"/>
      <c r="BK916" s="28"/>
      <c r="BL916" s="28"/>
    </row>
    <row r="917" spans="1:64" ht="12.75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  <c r="BC917" s="28"/>
      <c r="BD917" s="28"/>
      <c r="BE917" s="28"/>
      <c r="BF917" s="28"/>
      <c r="BG917" s="28"/>
      <c r="BH917" s="28"/>
      <c r="BI917" s="28"/>
      <c r="BJ917" s="28"/>
      <c r="BK917" s="28"/>
      <c r="BL917" s="28"/>
    </row>
    <row r="918" spans="1:64" ht="12.75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  <c r="BC918" s="28"/>
      <c r="BD918" s="28"/>
      <c r="BE918" s="28"/>
      <c r="BF918" s="28"/>
      <c r="BG918" s="28"/>
      <c r="BH918" s="28"/>
      <c r="BI918" s="28"/>
      <c r="BJ918" s="28"/>
      <c r="BK918" s="28"/>
      <c r="BL918" s="28"/>
    </row>
    <row r="919" spans="1:64" ht="12.75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  <c r="BC919" s="28"/>
      <c r="BD919" s="28"/>
      <c r="BE919" s="28"/>
      <c r="BF919" s="28"/>
      <c r="BG919" s="28"/>
      <c r="BH919" s="28"/>
      <c r="BI919" s="28"/>
      <c r="BJ919" s="28"/>
      <c r="BK919" s="28"/>
      <c r="BL919" s="28"/>
    </row>
    <row r="920" spans="1:64" ht="12.75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  <c r="BC920" s="28"/>
      <c r="BD920" s="28"/>
      <c r="BE920" s="28"/>
      <c r="BF920" s="28"/>
      <c r="BG920" s="28"/>
      <c r="BH920" s="28"/>
      <c r="BI920" s="28"/>
      <c r="BJ920" s="28"/>
      <c r="BK920" s="28"/>
      <c r="BL920" s="28"/>
    </row>
    <row r="921" spans="1:64" ht="12.75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  <c r="BC921" s="28"/>
      <c r="BD921" s="28"/>
      <c r="BE921" s="28"/>
      <c r="BF921" s="28"/>
      <c r="BG921" s="28"/>
      <c r="BH921" s="28"/>
      <c r="BI921" s="28"/>
      <c r="BJ921" s="28"/>
      <c r="BK921" s="28"/>
      <c r="BL921" s="28"/>
    </row>
    <row r="922" spans="1:64" ht="12.75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  <c r="BC922" s="28"/>
      <c r="BD922" s="28"/>
      <c r="BE922" s="28"/>
      <c r="BF922" s="28"/>
      <c r="BG922" s="28"/>
      <c r="BH922" s="28"/>
      <c r="BI922" s="28"/>
      <c r="BJ922" s="28"/>
      <c r="BK922" s="28"/>
      <c r="BL922" s="28"/>
    </row>
    <row r="923" spans="1:64" ht="12.75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  <c r="BC923" s="28"/>
      <c r="BD923" s="28"/>
      <c r="BE923" s="28"/>
      <c r="BF923" s="28"/>
      <c r="BG923" s="28"/>
      <c r="BH923" s="28"/>
      <c r="BI923" s="28"/>
      <c r="BJ923" s="28"/>
      <c r="BK923" s="28"/>
      <c r="BL923" s="28"/>
    </row>
    <row r="924" spans="1:64" ht="12.75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  <c r="BC924" s="28"/>
      <c r="BD924" s="28"/>
      <c r="BE924" s="28"/>
      <c r="BF924" s="28"/>
      <c r="BG924" s="28"/>
      <c r="BH924" s="28"/>
      <c r="BI924" s="28"/>
      <c r="BJ924" s="28"/>
      <c r="BK924" s="28"/>
      <c r="BL924" s="28"/>
    </row>
    <row r="925" spans="1:64" ht="12.7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  <c r="BC925" s="28"/>
      <c r="BD925" s="28"/>
      <c r="BE925" s="28"/>
      <c r="BF925" s="28"/>
      <c r="BG925" s="28"/>
      <c r="BH925" s="28"/>
      <c r="BI925" s="28"/>
      <c r="BJ925" s="28"/>
      <c r="BK925" s="28"/>
      <c r="BL925" s="28"/>
    </row>
    <row r="926" spans="1:64" ht="12.75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  <c r="BC926" s="28"/>
      <c r="BD926" s="28"/>
      <c r="BE926" s="28"/>
      <c r="BF926" s="28"/>
      <c r="BG926" s="28"/>
      <c r="BH926" s="28"/>
      <c r="BI926" s="28"/>
      <c r="BJ926" s="28"/>
      <c r="BK926" s="28"/>
      <c r="BL926" s="28"/>
    </row>
    <row r="927" spans="1:64" ht="12.75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  <c r="BC927" s="28"/>
      <c r="BD927" s="28"/>
      <c r="BE927" s="28"/>
      <c r="BF927" s="28"/>
      <c r="BG927" s="28"/>
      <c r="BH927" s="28"/>
      <c r="BI927" s="28"/>
      <c r="BJ927" s="28"/>
      <c r="BK927" s="28"/>
      <c r="BL927" s="28"/>
    </row>
    <row r="928" spans="1:64" ht="12.75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  <c r="BC928" s="28"/>
      <c r="BD928" s="28"/>
      <c r="BE928" s="28"/>
      <c r="BF928" s="28"/>
      <c r="BG928" s="28"/>
      <c r="BH928" s="28"/>
      <c r="BI928" s="28"/>
      <c r="BJ928" s="28"/>
      <c r="BK928" s="28"/>
      <c r="BL928" s="28"/>
    </row>
    <row r="929" spans="1:64" ht="12.75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  <c r="BC929" s="28"/>
      <c r="BD929" s="28"/>
      <c r="BE929" s="28"/>
      <c r="BF929" s="28"/>
      <c r="BG929" s="28"/>
      <c r="BH929" s="28"/>
      <c r="BI929" s="28"/>
      <c r="BJ929" s="28"/>
      <c r="BK929" s="28"/>
      <c r="BL929" s="28"/>
    </row>
    <row r="930" spans="1:64" ht="12.75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  <c r="BC930" s="28"/>
      <c r="BD930" s="28"/>
      <c r="BE930" s="28"/>
      <c r="BF930" s="28"/>
      <c r="BG930" s="28"/>
      <c r="BH930" s="28"/>
      <c r="BI930" s="28"/>
      <c r="BJ930" s="28"/>
      <c r="BK930" s="28"/>
      <c r="BL930" s="28"/>
    </row>
    <row r="931" spans="1:64" ht="12.75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  <c r="BC931" s="28"/>
      <c r="BD931" s="28"/>
      <c r="BE931" s="28"/>
      <c r="BF931" s="28"/>
      <c r="BG931" s="28"/>
      <c r="BH931" s="28"/>
      <c r="BI931" s="28"/>
      <c r="BJ931" s="28"/>
      <c r="BK931" s="28"/>
      <c r="BL931" s="28"/>
    </row>
    <row r="932" spans="1:64" ht="12.75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  <c r="BC932" s="28"/>
      <c r="BD932" s="28"/>
      <c r="BE932" s="28"/>
      <c r="BF932" s="28"/>
      <c r="BG932" s="28"/>
      <c r="BH932" s="28"/>
      <c r="BI932" s="28"/>
      <c r="BJ932" s="28"/>
      <c r="BK932" s="28"/>
      <c r="BL932" s="28"/>
    </row>
    <row r="933" spans="1:64" ht="12.75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  <c r="BC933" s="28"/>
      <c r="BD933" s="28"/>
      <c r="BE933" s="28"/>
      <c r="BF933" s="28"/>
      <c r="BG933" s="28"/>
      <c r="BH933" s="28"/>
      <c r="BI933" s="28"/>
      <c r="BJ933" s="28"/>
      <c r="BK933" s="28"/>
      <c r="BL933" s="28"/>
    </row>
    <row r="934" spans="1:64" ht="12.75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  <c r="BC934" s="28"/>
      <c r="BD934" s="28"/>
      <c r="BE934" s="28"/>
      <c r="BF934" s="28"/>
      <c r="BG934" s="28"/>
      <c r="BH934" s="28"/>
      <c r="BI934" s="28"/>
      <c r="BJ934" s="28"/>
      <c r="BK934" s="28"/>
      <c r="BL934" s="28"/>
    </row>
    <row r="935" spans="1:64" ht="12.7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  <c r="BC935" s="28"/>
      <c r="BD935" s="28"/>
      <c r="BE935" s="28"/>
      <c r="BF935" s="28"/>
      <c r="BG935" s="28"/>
      <c r="BH935" s="28"/>
      <c r="BI935" s="28"/>
      <c r="BJ935" s="28"/>
      <c r="BK935" s="28"/>
      <c r="BL935" s="28"/>
    </row>
    <row r="936" spans="1:64" ht="12.75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  <c r="BC936" s="28"/>
      <c r="BD936" s="28"/>
      <c r="BE936" s="28"/>
      <c r="BF936" s="28"/>
      <c r="BG936" s="28"/>
      <c r="BH936" s="28"/>
      <c r="BI936" s="28"/>
      <c r="BJ936" s="28"/>
      <c r="BK936" s="28"/>
      <c r="BL936" s="28"/>
    </row>
    <row r="937" spans="1:64" ht="12.75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  <c r="BC937" s="28"/>
      <c r="BD937" s="28"/>
      <c r="BE937" s="28"/>
      <c r="BF937" s="28"/>
      <c r="BG937" s="28"/>
      <c r="BH937" s="28"/>
      <c r="BI937" s="28"/>
      <c r="BJ937" s="28"/>
      <c r="BK937" s="28"/>
      <c r="BL937" s="28"/>
    </row>
    <row r="938" spans="1:64" ht="12.75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  <c r="BC938" s="28"/>
      <c r="BD938" s="28"/>
      <c r="BE938" s="28"/>
      <c r="BF938" s="28"/>
      <c r="BG938" s="28"/>
      <c r="BH938" s="28"/>
      <c r="BI938" s="28"/>
      <c r="BJ938" s="28"/>
      <c r="BK938" s="28"/>
      <c r="BL938" s="28"/>
    </row>
    <row r="939" spans="1:64" ht="12.75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  <c r="BC939" s="28"/>
      <c r="BD939" s="28"/>
      <c r="BE939" s="28"/>
      <c r="BF939" s="28"/>
      <c r="BG939" s="28"/>
      <c r="BH939" s="28"/>
      <c r="BI939" s="28"/>
      <c r="BJ939" s="28"/>
      <c r="BK939" s="28"/>
      <c r="BL939" s="28"/>
    </row>
    <row r="940" spans="1:64" ht="12.75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  <c r="BC940" s="28"/>
      <c r="BD940" s="28"/>
      <c r="BE940" s="28"/>
      <c r="BF940" s="28"/>
      <c r="BG940" s="28"/>
      <c r="BH940" s="28"/>
      <c r="BI940" s="28"/>
      <c r="BJ940" s="28"/>
      <c r="BK940" s="28"/>
      <c r="BL940" s="28"/>
    </row>
    <row r="941" spans="1:64" ht="12.75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  <c r="BC941" s="28"/>
      <c r="BD941" s="28"/>
      <c r="BE941" s="28"/>
      <c r="BF941" s="28"/>
      <c r="BG941" s="28"/>
      <c r="BH941" s="28"/>
      <c r="BI941" s="28"/>
      <c r="BJ941" s="28"/>
      <c r="BK941" s="28"/>
      <c r="BL941" s="28"/>
    </row>
    <row r="942" spans="1:64" ht="12.75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  <c r="BC942" s="28"/>
      <c r="BD942" s="28"/>
      <c r="BE942" s="28"/>
      <c r="BF942" s="28"/>
      <c r="BG942" s="28"/>
      <c r="BH942" s="28"/>
      <c r="BI942" s="28"/>
      <c r="BJ942" s="28"/>
      <c r="BK942" s="28"/>
      <c r="BL942" s="28"/>
    </row>
    <row r="943" spans="1:64" ht="12.75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  <c r="BC943" s="28"/>
      <c r="BD943" s="28"/>
      <c r="BE943" s="28"/>
      <c r="BF943" s="28"/>
      <c r="BG943" s="28"/>
      <c r="BH943" s="28"/>
      <c r="BI943" s="28"/>
      <c r="BJ943" s="28"/>
      <c r="BK943" s="28"/>
      <c r="BL943" s="28"/>
    </row>
    <row r="944" spans="1:64" ht="12.75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  <c r="BC944" s="28"/>
      <c r="BD944" s="28"/>
      <c r="BE944" s="28"/>
      <c r="BF944" s="28"/>
      <c r="BG944" s="28"/>
      <c r="BH944" s="28"/>
      <c r="BI944" s="28"/>
      <c r="BJ944" s="28"/>
      <c r="BK944" s="28"/>
      <c r="BL944" s="28"/>
    </row>
    <row r="945" spans="1:64" ht="12.7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  <c r="BC945" s="28"/>
      <c r="BD945" s="28"/>
      <c r="BE945" s="28"/>
      <c r="BF945" s="28"/>
      <c r="BG945" s="28"/>
      <c r="BH945" s="28"/>
      <c r="BI945" s="28"/>
      <c r="BJ945" s="28"/>
      <c r="BK945" s="28"/>
      <c r="BL945" s="28"/>
    </row>
    <row r="946" spans="1:64" ht="12.75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  <c r="BC946" s="28"/>
      <c r="BD946" s="28"/>
      <c r="BE946" s="28"/>
      <c r="BF946" s="28"/>
      <c r="BG946" s="28"/>
      <c r="BH946" s="28"/>
      <c r="BI946" s="28"/>
      <c r="BJ946" s="28"/>
      <c r="BK946" s="28"/>
      <c r="BL946" s="28"/>
    </row>
    <row r="947" spans="1:64" ht="12.75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  <c r="BC947" s="28"/>
      <c r="BD947" s="28"/>
      <c r="BE947" s="28"/>
      <c r="BF947" s="28"/>
      <c r="BG947" s="28"/>
      <c r="BH947" s="28"/>
      <c r="BI947" s="28"/>
      <c r="BJ947" s="28"/>
      <c r="BK947" s="28"/>
      <c r="BL947" s="28"/>
    </row>
    <row r="948" spans="1:64" ht="12.75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  <c r="BC948" s="28"/>
      <c r="BD948" s="28"/>
      <c r="BE948" s="28"/>
      <c r="BF948" s="28"/>
      <c r="BG948" s="28"/>
      <c r="BH948" s="28"/>
      <c r="BI948" s="28"/>
      <c r="BJ948" s="28"/>
      <c r="BK948" s="28"/>
      <c r="BL948" s="28"/>
    </row>
    <row r="949" spans="1:64" ht="12.75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  <c r="BC949" s="28"/>
      <c r="BD949" s="28"/>
      <c r="BE949" s="28"/>
      <c r="BF949" s="28"/>
      <c r="BG949" s="28"/>
      <c r="BH949" s="28"/>
      <c r="BI949" s="28"/>
      <c r="BJ949" s="28"/>
      <c r="BK949" s="28"/>
      <c r="BL949" s="28"/>
    </row>
    <row r="950" spans="1:64" ht="12.75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  <c r="BC950" s="28"/>
      <c r="BD950" s="28"/>
      <c r="BE950" s="28"/>
      <c r="BF950" s="28"/>
      <c r="BG950" s="28"/>
      <c r="BH950" s="28"/>
      <c r="BI950" s="28"/>
      <c r="BJ950" s="28"/>
      <c r="BK950" s="28"/>
      <c r="BL950" s="28"/>
    </row>
    <row r="951" spans="1:64" ht="12.75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  <c r="BC951" s="28"/>
      <c r="BD951" s="28"/>
      <c r="BE951" s="28"/>
      <c r="BF951" s="28"/>
      <c r="BG951" s="28"/>
      <c r="BH951" s="28"/>
      <c r="BI951" s="28"/>
      <c r="BJ951" s="28"/>
      <c r="BK951" s="28"/>
      <c r="BL951" s="28"/>
    </row>
    <row r="952" spans="1:64" ht="12.75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  <c r="BC952" s="28"/>
      <c r="BD952" s="28"/>
      <c r="BE952" s="28"/>
      <c r="BF952" s="28"/>
      <c r="BG952" s="28"/>
      <c r="BH952" s="28"/>
      <c r="BI952" s="28"/>
      <c r="BJ952" s="28"/>
      <c r="BK952" s="28"/>
      <c r="BL952" s="28"/>
    </row>
    <row r="953" spans="1:64" ht="12.75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  <c r="BC953" s="28"/>
      <c r="BD953" s="28"/>
      <c r="BE953" s="28"/>
      <c r="BF953" s="28"/>
      <c r="BG953" s="28"/>
      <c r="BH953" s="28"/>
      <c r="BI953" s="28"/>
      <c r="BJ953" s="28"/>
      <c r="BK953" s="28"/>
      <c r="BL953" s="28"/>
    </row>
    <row r="954" spans="1:64" ht="12.75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  <c r="BC954" s="28"/>
      <c r="BD954" s="28"/>
      <c r="BE954" s="28"/>
      <c r="BF954" s="28"/>
      <c r="BG954" s="28"/>
      <c r="BH954" s="28"/>
      <c r="BI954" s="28"/>
      <c r="BJ954" s="28"/>
      <c r="BK954" s="28"/>
      <c r="BL954" s="28"/>
    </row>
    <row r="955" spans="1:64" ht="12.7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  <c r="BC955" s="28"/>
      <c r="BD955" s="28"/>
      <c r="BE955" s="28"/>
      <c r="BF955" s="28"/>
      <c r="BG955" s="28"/>
      <c r="BH955" s="28"/>
      <c r="BI955" s="28"/>
      <c r="BJ955" s="28"/>
      <c r="BK955" s="28"/>
      <c r="BL955" s="28"/>
    </row>
    <row r="956" spans="1:64" ht="12.75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  <c r="BC956" s="28"/>
      <c r="BD956" s="28"/>
      <c r="BE956" s="28"/>
      <c r="BF956" s="28"/>
      <c r="BG956" s="28"/>
      <c r="BH956" s="28"/>
      <c r="BI956" s="28"/>
      <c r="BJ956" s="28"/>
      <c r="BK956" s="28"/>
      <c r="BL956" s="28"/>
    </row>
    <row r="957" spans="1:64" ht="12.75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  <c r="BC957" s="28"/>
      <c r="BD957" s="28"/>
      <c r="BE957" s="28"/>
      <c r="BF957" s="28"/>
      <c r="BG957" s="28"/>
      <c r="BH957" s="28"/>
      <c r="BI957" s="28"/>
      <c r="BJ957" s="28"/>
      <c r="BK957" s="28"/>
      <c r="BL957" s="28"/>
    </row>
    <row r="958" spans="1:64" ht="12.75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  <c r="BC958" s="28"/>
      <c r="BD958" s="28"/>
      <c r="BE958" s="28"/>
      <c r="BF958" s="28"/>
      <c r="BG958" s="28"/>
      <c r="BH958" s="28"/>
      <c r="BI958" s="28"/>
      <c r="BJ958" s="28"/>
      <c r="BK958" s="28"/>
      <c r="BL958" s="28"/>
    </row>
    <row r="959" spans="1:64" ht="12.75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  <c r="BC959" s="28"/>
      <c r="BD959" s="28"/>
      <c r="BE959" s="28"/>
      <c r="BF959" s="28"/>
      <c r="BG959" s="28"/>
      <c r="BH959" s="28"/>
      <c r="BI959" s="28"/>
      <c r="BJ959" s="28"/>
      <c r="BK959" s="28"/>
      <c r="BL959" s="28"/>
    </row>
    <row r="960" spans="1:64" ht="12.75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  <c r="BC960" s="28"/>
      <c r="BD960" s="28"/>
      <c r="BE960" s="28"/>
      <c r="BF960" s="28"/>
      <c r="BG960" s="28"/>
      <c r="BH960" s="28"/>
      <c r="BI960" s="28"/>
      <c r="BJ960" s="28"/>
      <c r="BK960" s="28"/>
      <c r="BL960" s="28"/>
    </row>
    <row r="961" spans="1:64" ht="12.75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  <c r="BC961" s="28"/>
      <c r="BD961" s="28"/>
      <c r="BE961" s="28"/>
      <c r="BF961" s="28"/>
      <c r="BG961" s="28"/>
      <c r="BH961" s="28"/>
      <c r="BI961" s="28"/>
      <c r="BJ961" s="28"/>
      <c r="BK961" s="28"/>
      <c r="BL961" s="28"/>
    </row>
    <row r="962" spans="1:64" ht="12.75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  <c r="BC962" s="28"/>
      <c r="BD962" s="28"/>
      <c r="BE962" s="28"/>
      <c r="BF962" s="28"/>
      <c r="BG962" s="28"/>
      <c r="BH962" s="28"/>
      <c r="BI962" s="28"/>
      <c r="BJ962" s="28"/>
      <c r="BK962" s="28"/>
      <c r="BL962" s="28"/>
    </row>
    <row r="963" spans="1:64" ht="12.75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  <c r="BC963" s="28"/>
      <c r="BD963" s="28"/>
      <c r="BE963" s="28"/>
      <c r="BF963" s="28"/>
      <c r="BG963" s="28"/>
      <c r="BH963" s="28"/>
      <c r="BI963" s="28"/>
      <c r="BJ963" s="28"/>
      <c r="BK963" s="28"/>
      <c r="BL963" s="28"/>
    </row>
    <row r="964" spans="1:64" ht="12.75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  <c r="BC964" s="28"/>
      <c r="BD964" s="28"/>
      <c r="BE964" s="28"/>
      <c r="BF964" s="28"/>
      <c r="BG964" s="28"/>
      <c r="BH964" s="28"/>
      <c r="BI964" s="28"/>
      <c r="BJ964" s="28"/>
      <c r="BK964" s="28"/>
      <c r="BL964" s="28"/>
    </row>
    <row r="965" spans="1:64" ht="12.7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  <c r="BC965" s="28"/>
      <c r="BD965" s="28"/>
      <c r="BE965" s="28"/>
      <c r="BF965" s="28"/>
      <c r="BG965" s="28"/>
      <c r="BH965" s="28"/>
      <c r="BI965" s="28"/>
      <c r="BJ965" s="28"/>
      <c r="BK965" s="28"/>
      <c r="BL965" s="28"/>
    </row>
    <row r="966" spans="1:64" ht="12.75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  <c r="BC966" s="28"/>
      <c r="BD966" s="28"/>
      <c r="BE966" s="28"/>
      <c r="BF966" s="28"/>
      <c r="BG966" s="28"/>
      <c r="BH966" s="28"/>
      <c r="BI966" s="28"/>
      <c r="BJ966" s="28"/>
      <c r="BK966" s="28"/>
      <c r="BL966" s="28"/>
    </row>
    <row r="967" spans="1:64" ht="12.75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  <c r="BC967" s="28"/>
      <c r="BD967" s="28"/>
      <c r="BE967" s="28"/>
      <c r="BF967" s="28"/>
      <c r="BG967" s="28"/>
      <c r="BH967" s="28"/>
      <c r="BI967" s="28"/>
      <c r="BJ967" s="28"/>
      <c r="BK967" s="28"/>
      <c r="BL967" s="28"/>
    </row>
    <row r="968" spans="1:64" ht="12.75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  <c r="BC968" s="28"/>
      <c r="BD968" s="28"/>
      <c r="BE968" s="28"/>
      <c r="BF968" s="28"/>
      <c r="BG968" s="28"/>
      <c r="BH968" s="28"/>
      <c r="BI968" s="28"/>
      <c r="BJ968" s="28"/>
      <c r="BK968" s="28"/>
      <c r="BL968" s="28"/>
    </row>
    <row r="969" spans="1:64" ht="12.75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  <c r="BC969" s="28"/>
      <c r="BD969" s="28"/>
      <c r="BE969" s="28"/>
      <c r="BF969" s="28"/>
      <c r="BG969" s="28"/>
      <c r="BH969" s="28"/>
      <c r="BI969" s="28"/>
      <c r="BJ969" s="28"/>
      <c r="BK969" s="28"/>
      <c r="BL969" s="28"/>
    </row>
    <row r="970" spans="1:64" ht="12.75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  <c r="BC970" s="28"/>
      <c r="BD970" s="28"/>
      <c r="BE970" s="28"/>
      <c r="BF970" s="28"/>
      <c r="BG970" s="28"/>
      <c r="BH970" s="28"/>
      <c r="BI970" s="28"/>
      <c r="BJ970" s="28"/>
      <c r="BK970" s="28"/>
      <c r="BL970" s="28"/>
    </row>
    <row r="971" spans="1:64" ht="12.75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  <c r="BC971" s="28"/>
      <c r="BD971" s="28"/>
      <c r="BE971" s="28"/>
      <c r="BF971" s="28"/>
      <c r="BG971" s="28"/>
      <c r="BH971" s="28"/>
      <c r="BI971" s="28"/>
      <c r="BJ971" s="28"/>
      <c r="BK971" s="28"/>
      <c r="BL971" s="28"/>
    </row>
    <row r="972" spans="1:64" ht="12.75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  <c r="BC972" s="28"/>
      <c r="BD972" s="28"/>
      <c r="BE972" s="28"/>
      <c r="BF972" s="28"/>
      <c r="BG972" s="28"/>
      <c r="BH972" s="28"/>
      <c r="BI972" s="28"/>
      <c r="BJ972" s="28"/>
      <c r="BK972" s="28"/>
      <c r="BL972" s="28"/>
    </row>
    <row r="973" spans="1:64" ht="12.75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  <c r="BC973" s="28"/>
      <c r="BD973" s="28"/>
      <c r="BE973" s="28"/>
      <c r="BF973" s="28"/>
      <c r="BG973" s="28"/>
      <c r="BH973" s="28"/>
      <c r="BI973" s="28"/>
      <c r="BJ973" s="28"/>
      <c r="BK973" s="28"/>
      <c r="BL973" s="28"/>
    </row>
    <row r="974" spans="1:64" ht="12.75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  <c r="BC974" s="28"/>
      <c r="BD974" s="28"/>
      <c r="BE974" s="28"/>
      <c r="BF974" s="28"/>
      <c r="BG974" s="28"/>
      <c r="BH974" s="28"/>
      <c r="BI974" s="28"/>
      <c r="BJ974" s="28"/>
      <c r="BK974" s="28"/>
      <c r="BL974" s="28"/>
    </row>
    <row r="975" spans="1:64" ht="12.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  <c r="BC975" s="28"/>
      <c r="BD975" s="28"/>
      <c r="BE975" s="28"/>
      <c r="BF975" s="28"/>
      <c r="BG975" s="28"/>
      <c r="BH975" s="28"/>
      <c r="BI975" s="28"/>
      <c r="BJ975" s="28"/>
      <c r="BK975" s="28"/>
      <c r="BL975" s="28"/>
    </row>
    <row r="976" spans="1:64" ht="12.75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  <c r="BC976" s="28"/>
      <c r="BD976" s="28"/>
      <c r="BE976" s="28"/>
      <c r="BF976" s="28"/>
      <c r="BG976" s="28"/>
      <c r="BH976" s="28"/>
      <c r="BI976" s="28"/>
      <c r="BJ976" s="28"/>
      <c r="BK976" s="28"/>
      <c r="BL976" s="28"/>
    </row>
    <row r="977" spans="1:64" ht="12.75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  <c r="BC977" s="28"/>
      <c r="BD977" s="28"/>
      <c r="BE977" s="28"/>
      <c r="BF977" s="28"/>
      <c r="BG977" s="28"/>
      <c r="BH977" s="28"/>
      <c r="BI977" s="28"/>
      <c r="BJ977" s="28"/>
      <c r="BK977" s="28"/>
      <c r="BL977" s="28"/>
    </row>
    <row r="978" spans="1:64" ht="12.75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  <c r="BC978" s="28"/>
      <c r="BD978" s="28"/>
      <c r="BE978" s="28"/>
      <c r="BF978" s="28"/>
      <c r="BG978" s="28"/>
      <c r="BH978" s="28"/>
      <c r="BI978" s="28"/>
      <c r="BJ978" s="28"/>
      <c r="BK978" s="28"/>
      <c r="BL978" s="28"/>
    </row>
    <row r="979" spans="1:64" ht="12.75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  <c r="BC979" s="28"/>
      <c r="BD979" s="28"/>
      <c r="BE979" s="28"/>
      <c r="BF979" s="28"/>
      <c r="BG979" s="28"/>
      <c r="BH979" s="28"/>
      <c r="BI979" s="28"/>
      <c r="BJ979" s="28"/>
      <c r="BK979" s="28"/>
      <c r="BL979" s="28"/>
    </row>
    <row r="980" spans="1:64" ht="12.75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  <c r="BC980" s="28"/>
      <c r="BD980" s="28"/>
      <c r="BE980" s="28"/>
      <c r="BF980" s="28"/>
      <c r="BG980" s="28"/>
      <c r="BH980" s="28"/>
      <c r="BI980" s="28"/>
      <c r="BJ980" s="28"/>
      <c r="BK980" s="28"/>
      <c r="BL980" s="28"/>
    </row>
    <row r="981" spans="1:64" ht="12.75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  <c r="BC981" s="28"/>
      <c r="BD981" s="28"/>
      <c r="BE981" s="28"/>
      <c r="BF981" s="28"/>
      <c r="BG981" s="28"/>
      <c r="BH981" s="28"/>
      <c r="BI981" s="28"/>
      <c r="BJ981" s="28"/>
      <c r="BK981" s="28"/>
      <c r="BL981" s="28"/>
    </row>
    <row r="982" spans="1:64" ht="12.75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  <c r="BC982" s="28"/>
      <c r="BD982" s="28"/>
      <c r="BE982" s="28"/>
      <c r="BF982" s="28"/>
      <c r="BG982" s="28"/>
      <c r="BH982" s="28"/>
      <c r="BI982" s="28"/>
      <c r="BJ982" s="28"/>
      <c r="BK982" s="28"/>
      <c r="BL982" s="28"/>
    </row>
    <row r="983" spans="1:64" ht="12.75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  <c r="BC983" s="28"/>
      <c r="BD983" s="28"/>
      <c r="BE983" s="28"/>
      <c r="BF983" s="28"/>
      <c r="BG983" s="28"/>
      <c r="BH983" s="28"/>
      <c r="BI983" s="28"/>
      <c r="BJ983" s="28"/>
      <c r="BK983" s="28"/>
      <c r="BL983" s="28"/>
    </row>
    <row r="984" spans="1:64" ht="12.75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  <c r="BC984" s="28"/>
      <c r="BD984" s="28"/>
      <c r="BE984" s="28"/>
      <c r="BF984" s="28"/>
      <c r="BG984" s="28"/>
      <c r="BH984" s="28"/>
      <c r="BI984" s="28"/>
      <c r="BJ984" s="28"/>
      <c r="BK984" s="28"/>
      <c r="BL984" s="28"/>
    </row>
    <row r="985" spans="1:64" ht="12.7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  <c r="BC985" s="28"/>
      <c r="BD985" s="28"/>
      <c r="BE985" s="28"/>
      <c r="BF985" s="28"/>
      <c r="BG985" s="28"/>
      <c r="BH985" s="28"/>
      <c r="BI985" s="28"/>
      <c r="BJ985" s="28"/>
      <c r="BK985" s="28"/>
      <c r="BL985" s="28"/>
    </row>
    <row r="986" spans="1:64" ht="12.75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  <c r="BC986" s="28"/>
      <c r="BD986" s="28"/>
      <c r="BE986" s="28"/>
      <c r="BF986" s="28"/>
      <c r="BG986" s="28"/>
      <c r="BH986" s="28"/>
      <c r="BI986" s="28"/>
      <c r="BJ986" s="28"/>
      <c r="BK986" s="28"/>
      <c r="BL986" s="28"/>
    </row>
    <row r="987" spans="1:64" ht="12.75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  <c r="BC987" s="28"/>
      <c r="BD987" s="28"/>
      <c r="BE987" s="28"/>
      <c r="BF987" s="28"/>
      <c r="BG987" s="28"/>
      <c r="BH987" s="28"/>
      <c r="BI987" s="28"/>
      <c r="BJ987" s="28"/>
      <c r="BK987" s="28"/>
      <c r="BL987" s="28"/>
    </row>
    <row r="988" spans="1:64" ht="12.75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  <c r="BC988" s="28"/>
      <c r="BD988" s="28"/>
      <c r="BE988" s="28"/>
      <c r="BF988" s="28"/>
      <c r="BG988" s="28"/>
      <c r="BH988" s="28"/>
      <c r="BI988" s="28"/>
      <c r="BJ988" s="28"/>
      <c r="BK988" s="28"/>
      <c r="BL988" s="28"/>
    </row>
    <row r="989" spans="1:64" ht="12.75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  <c r="BC989" s="28"/>
      <c r="BD989" s="28"/>
      <c r="BE989" s="28"/>
      <c r="BF989" s="28"/>
      <c r="BG989" s="28"/>
      <c r="BH989" s="28"/>
      <c r="BI989" s="28"/>
      <c r="BJ989" s="28"/>
      <c r="BK989" s="28"/>
      <c r="BL989" s="28"/>
    </row>
    <row r="990" spans="1:64" ht="12.75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  <c r="BC990" s="28"/>
      <c r="BD990" s="28"/>
      <c r="BE990" s="28"/>
      <c r="BF990" s="28"/>
      <c r="BG990" s="28"/>
      <c r="BH990" s="28"/>
      <c r="BI990" s="28"/>
      <c r="BJ990" s="28"/>
      <c r="BK990" s="28"/>
      <c r="BL990" s="28"/>
    </row>
    <row r="991" spans="1:64" ht="12.75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  <c r="BC991" s="28"/>
      <c r="BD991" s="28"/>
      <c r="BE991" s="28"/>
      <c r="BF991" s="28"/>
      <c r="BG991" s="28"/>
      <c r="BH991" s="28"/>
      <c r="BI991" s="28"/>
      <c r="BJ991" s="28"/>
      <c r="BK991" s="28"/>
      <c r="BL991" s="28"/>
    </row>
    <row r="992" spans="1:64" ht="12.75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  <c r="BC992" s="28"/>
      <c r="BD992" s="28"/>
      <c r="BE992" s="28"/>
      <c r="BF992" s="28"/>
      <c r="BG992" s="28"/>
      <c r="BH992" s="28"/>
      <c r="BI992" s="28"/>
      <c r="BJ992" s="28"/>
      <c r="BK992" s="28"/>
      <c r="BL992" s="28"/>
    </row>
    <row r="993" spans="1:64" ht="12.75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  <c r="BC993" s="28"/>
      <c r="BD993" s="28"/>
      <c r="BE993" s="28"/>
      <c r="BF993" s="28"/>
      <c r="BG993" s="28"/>
      <c r="BH993" s="28"/>
      <c r="BI993" s="28"/>
      <c r="BJ993" s="28"/>
      <c r="BK993" s="28"/>
      <c r="BL993" s="28"/>
    </row>
    <row r="994" spans="1:64" ht="12.75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  <c r="BC994" s="28"/>
      <c r="BD994" s="28"/>
      <c r="BE994" s="28"/>
      <c r="BF994" s="28"/>
      <c r="BG994" s="28"/>
      <c r="BH994" s="28"/>
      <c r="BI994" s="28"/>
      <c r="BJ994" s="28"/>
      <c r="BK994" s="28"/>
      <c r="BL994" s="28"/>
    </row>
    <row r="995" spans="1:64" ht="12.7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  <c r="BC995" s="28"/>
      <c r="BD995" s="28"/>
      <c r="BE995" s="28"/>
      <c r="BF995" s="28"/>
      <c r="BG995" s="28"/>
      <c r="BH995" s="28"/>
      <c r="BI995" s="28"/>
      <c r="BJ995" s="28"/>
      <c r="BK995" s="28"/>
      <c r="BL995" s="28"/>
    </row>
    <row r="996" spans="1:64" ht="12.75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  <c r="BC996" s="28"/>
      <c r="BD996" s="28"/>
      <c r="BE996" s="28"/>
      <c r="BF996" s="28"/>
      <c r="BG996" s="28"/>
      <c r="BH996" s="28"/>
      <c r="BI996" s="28"/>
      <c r="BJ996" s="28"/>
      <c r="BK996" s="28"/>
      <c r="BL996" s="28"/>
    </row>
    <row r="997" spans="1:64" ht="12.75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  <c r="BC997" s="28"/>
      <c r="BD997" s="28"/>
      <c r="BE997" s="28"/>
      <c r="BF997" s="28"/>
      <c r="BG997" s="28"/>
      <c r="BH997" s="28"/>
      <c r="BI997" s="28"/>
      <c r="BJ997" s="28"/>
      <c r="BK997" s="28"/>
      <c r="BL997" s="28"/>
    </row>
    <row r="998" spans="1:64" ht="12.75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  <c r="BC998" s="28"/>
      <c r="BD998" s="28"/>
      <c r="BE998" s="28"/>
      <c r="BF998" s="28"/>
      <c r="BG998" s="28"/>
      <c r="BH998" s="28"/>
      <c r="BI998" s="28"/>
      <c r="BJ998" s="28"/>
      <c r="BK998" s="28"/>
      <c r="BL998" s="28"/>
    </row>
    <row r="999" spans="1:64" ht="12.75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  <c r="BC999" s="28"/>
      <c r="BD999" s="28"/>
      <c r="BE999" s="28"/>
      <c r="BF999" s="28"/>
      <c r="BG999" s="28"/>
      <c r="BH999" s="28"/>
      <c r="BI999" s="28"/>
      <c r="BJ999" s="28"/>
      <c r="BK999" s="28"/>
      <c r="BL999" s="28"/>
    </row>
    <row r="1000" spans="1:64" ht="12.75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  <c r="BC1000" s="28"/>
      <c r="BD1000" s="28"/>
      <c r="BE1000" s="28"/>
      <c r="BF1000" s="28"/>
      <c r="BG1000" s="28"/>
      <c r="BH1000" s="28"/>
      <c r="BI1000" s="28"/>
      <c r="BJ1000" s="28"/>
      <c r="BK1000" s="28"/>
      <c r="BL1000" s="28"/>
    </row>
    <row r="1001" spans="1:64" ht="12.75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  <c r="AC1001" s="28"/>
      <c r="AD1001" s="28"/>
      <c r="AE1001" s="28"/>
      <c r="AF1001" s="28"/>
      <c r="AG1001" s="28"/>
      <c r="AH1001" s="28"/>
      <c r="AI1001" s="28"/>
      <c r="AJ1001" s="28"/>
      <c r="AK1001" s="28"/>
      <c r="AL1001" s="28"/>
      <c r="AM1001" s="28"/>
      <c r="AN1001" s="28"/>
      <c r="AO1001" s="28"/>
      <c r="AP1001" s="28"/>
      <c r="AQ1001" s="28"/>
      <c r="AR1001" s="28"/>
      <c r="AS1001" s="28"/>
      <c r="AT1001" s="28"/>
      <c r="AU1001" s="28"/>
      <c r="AV1001" s="28"/>
      <c r="AW1001" s="28"/>
      <c r="AX1001" s="28"/>
      <c r="AY1001" s="28"/>
      <c r="AZ1001" s="28"/>
      <c r="BA1001" s="28"/>
      <c r="BB1001" s="28"/>
      <c r="BC1001" s="28"/>
      <c r="BD1001" s="28"/>
      <c r="BE1001" s="28"/>
      <c r="BF1001" s="28"/>
      <c r="BG1001" s="28"/>
      <c r="BH1001" s="28"/>
      <c r="BI1001" s="28"/>
      <c r="BJ1001" s="28"/>
      <c r="BK1001" s="28"/>
      <c r="BL1001" s="28"/>
    </row>
    <row r="1002" spans="1:64" ht="12.75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  <c r="AC1002" s="28"/>
      <c r="AD1002" s="28"/>
      <c r="AE1002" s="28"/>
      <c r="AF1002" s="28"/>
      <c r="AG1002" s="28"/>
      <c r="AH1002" s="28"/>
      <c r="AI1002" s="28"/>
      <c r="AJ1002" s="28"/>
      <c r="AK1002" s="28"/>
      <c r="AL1002" s="28"/>
      <c r="AM1002" s="28"/>
      <c r="AN1002" s="28"/>
      <c r="AO1002" s="28"/>
      <c r="AP1002" s="28"/>
      <c r="AQ1002" s="28"/>
      <c r="AR1002" s="28"/>
      <c r="AS1002" s="28"/>
      <c r="AT1002" s="28"/>
      <c r="AU1002" s="28"/>
      <c r="AV1002" s="28"/>
      <c r="AW1002" s="28"/>
      <c r="AX1002" s="28"/>
      <c r="AY1002" s="28"/>
      <c r="AZ1002" s="28"/>
      <c r="BA1002" s="28"/>
      <c r="BB1002" s="28"/>
      <c r="BC1002" s="28"/>
      <c r="BD1002" s="28"/>
      <c r="BE1002" s="28"/>
      <c r="BF1002" s="28"/>
      <c r="BG1002" s="28"/>
      <c r="BH1002" s="28"/>
      <c r="BI1002" s="28"/>
      <c r="BJ1002" s="28"/>
      <c r="BK1002" s="28"/>
      <c r="BL1002" s="28"/>
    </row>
    <row r="1003" spans="1:64" ht="12.75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  <c r="AD1003" s="28"/>
      <c r="AE1003" s="28"/>
      <c r="AF1003" s="28"/>
      <c r="AG1003" s="28"/>
      <c r="AH1003" s="28"/>
      <c r="AI1003" s="28"/>
      <c r="AJ1003" s="28"/>
      <c r="AK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  <c r="AX1003" s="28"/>
      <c r="AY1003" s="28"/>
      <c r="AZ1003" s="28"/>
      <c r="BA1003" s="28"/>
      <c r="BB1003" s="28"/>
      <c r="BC1003" s="28"/>
      <c r="BD1003" s="28"/>
      <c r="BE1003" s="28"/>
      <c r="BF1003" s="28"/>
      <c r="BG1003" s="28"/>
      <c r="BH1003" s="28"/>
      <c r="BI1003" s="28"/>
      <c r="BJ1003" s="28"/>
      <c r="BK1003" s="28"/>
      <c r="BL1003" s="28"/>
    </row>
    <row r="1004" spans="1:64" ht="12.75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  <c r="AB1004" s="28"/>
      <c r="AC1004" s="28"/>
      <c r="AD1004" s="28"/>
      <c r="AE1004" s="28"/>
      <c r="AF1004" s="28"/>
      <c r="AG1004" s="28"/>
      <c r="AH1004" s="28"/>
      <c r="AI1004" s="28"/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  <c r="AY1004" s="28"/>
      <c r="AZ1004" s="28"/>
      <c r="BA1004" s="28"/>
      <c r="BB1004" s="28"/>
      <c r="BC1004" s="28"/>
      <c r="BD1004" s="28"/>
      <c r="BE1004" s="28"/>
      <c r="BF1004" s="28"/>
      <c r="BG1004" s="28"/>
      <c r="BH1004" s="28"/>
      <c r="BI1004" s="28"/>
      <c r="BJ1004" s="28"/>
      <c r="BK1004" s="28"/>
      <c r="BL1004" s="28"/>
    </row>
    <row r="1005" spans="1:64" ht="12.75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  <c r="AA1005" s="28"/>
      <c r="AB1005" s="28"/>
      <c r="AC1005" s="28"/>
      <c r="AD1005" s="28"/>
      <c r="AE1005" s="28"/>
      <c r="AF1005" s="28"/>
      <c r="AG1005" s="28"/>
      <c r="AH1005" s="28"/>
      <c r="AI1005" s="28"/>
      <c r="AJ1005" s="28"/>
      <c r="AK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  <c r="AX1005" s="28"/>
      <c r="AY1005" s="28"/>
      <c r="AZ1005" s="28"/>
      <c r="BA1005" s="28"/>
      <c r="BB1005" s="28"/>
      <c r="BC1005" s="28"/>
      <c r="BD1005" s="28"/>
      <c r="BE1005" s="28"/>
      <c r="BF1005" s="28"/>
      <c r="BG1005" s="28"/>
      <c r="BH1005" s="28"/>
      <c r="BI1005" s="28"/>
      <c r="BJ1005" s="28"/>
      <c r="BK1005" s="28"/>
      <c r="BL1005" s="28"/>
    </row>
    <row r="1006" spans="1:64" ht="12.75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  <c r="AA1006" s="28"/>
      <c r="AB1006" s="28"/>
      <c r="AC1006" s="28"/>
      <c r="AD1006" s="28"/>
      <c r="AE1006" s="28"/>
      <c r="AF1006" s="28"/>
      <c r="AG1006" s="28"/>
      <c r="AH1006" s="28"/>
      <c r="AI1006" s="28"/>
      <c r="AJ1006" s="28"/>
      <c r="AK1006" s="28"/>
      <c r="AL1006" s="28"/>
      <c r="AM1006" s="28"/>
      <c r="AN1006" s="28"/>
      <c r="AO1006" s="28"/>
      <c r="AP1006" s="28"/>
      <c r="AQ1006" s="28"/>
      <c r="AR1006" s="28"/>
      <c r="AS1006" s="28"/>
      <c r="AT1006" s="28"/>
      <c r="AU1006" s="28"/>
      <c r="AV1006" s="28"/>
      <c r="AW1006" s="28"/>
      <c r="AX1006" s="28"/>
      <c r="AY1006" s="28"/>
      <c r="AZ1006" s="28"/>
      <c r="BA1006" s="28"/>
      <c r="BB1006" s="28"/>
      <c r="BC1006" s="28"/>
      <c r="BD1006" s="28"/>
      <c r="BE1006" s="28"/>
      <c r="BF1006" s="28"/>
      <c r="BG1006" s="28"/>
      <c r="BH1006" s="28"/>
      <c r="BI1006" s="28"/>
      <c r="BJ1006" s="28"/>
      <c r="BK1006" s="28"/>
      <c r="BL1006" s="28"/>
    </row>
    <row r="1007" spans="1:64" ht="12.75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  <c r="AA1007" s="28"/>
      <c r="AB1007" s="28"/>
      <c r="AC1007" s="28"/>
      <c r="AD1007" s="28"/>
      <c r="AE1007" s="28"/>
      <c r="AF1007" s="28"/>
      <c r="AG1007" s="28"/>
      <c r="AH1007" s="28"/>
      <c r="AI1007" s="28"/>
      <c r="AJ1007" s="28"/>
      <c r="AK1007" s="28"/>
      <c r="AL1007" s="28"/>
      <c r="AM1007" s="28"/>
      <c r="AN1007" s="28"/>
      <c r="AO1007" s="28"/>
      <c r="AP1007" s="28"/>
      <c r="AQ1007" s="28"/>
      <c r="AR1007" s="28"/>
      <c r="AS1007" s="28"/>
      <c r="AT1007" s="28"/>
      <c r="AU1007" s="28"/>
      <c r="AV1007" s="28"/>
      <c r="AW1007" s="28"/>
      <c r="AX1007" s="28"/>
      <c r="AY1007" s="28"/>
      <c r="AZ1007" s="28"/>
      <c r="BA1007" s="28"/>
      <c r="BB1007" s="28"/>
      <c r="BC1007" s="28"/>
      <c r="BD1007" s="28"/>
      <c r="BE1007" s="28"/>
      <c r="BF1007" s="28"/>
      <c r="BG1007" s="28"/>
      <c r="BH1007" s="28"/>
      <c r="BI1007" s="28"/>
      <c r="BJ1007" s="28"/>
      <c r="BK1007" s="28"/>
      <c r="BL1007" s="28"/>
    </row>
    <row r="1008" spans="1:64" ht="12.75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  <c r="AA1008" s="28"/>
      <c r="AB1008" s="28"/>
      <c r="AC1008" s="28"/>
      <c r="AD1008" s="28"/>
      <c r="AE1008" s="28"/>
      <c r="AF1008" s="28"/>
      <c r="AG1008" s="28"/>
      <c r="AH1008" s="28"/>
      <c r="AI1008" s="28"/>
      <c r="AJ1008" s="28"/>
      <c r="AK1008" s="28"/>
      <c r="AL1008" s="28"/>
      <c r="AM1008" s="28"/>
      <c r="AN1008" s="28"/>
      <c r="AO1008" s="28"/>
      <c r="AP1008" s="28"/>
      <c r="AQ1008" s="28"/>
      <c r="AR1008" s="28"/>
      <c r="AS1008" s="28"/>
      <c r="AT1008" s="28"/>
      <c r="AU1008" s="28"/>
      <c r="AV1008" s="28"/>
      <c r="AW1008" s="28"/>
      <c r="AX1008" s="28"/>
      <c r="AY1008" s="28"/>
      <c r="AZ1008" s="28"/>
      <c r="BA1008" s="28"/>
      <c r="BB1008" s="28"/>
      <c r="BC1008" s="28"/>
      <c r="BD1008" s="28"/>
      <c r="BE1008" s="28"/>
      <c r="BF1008" s="28"/>
      <c r="BG1008" s="28"/>
      <c r="BH1008" s="28"/>
      <c r="BI1008" s="28"/>
      <c r="BJ1008" s="28"/>
      <c r="BK1008" s="28"/>
      <c r="BL1008" s="28"/>
    </row>
    <row r="1009" spans="1:64" ht="12.75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  <c r="AA1009" s="28"/>
      <c r="AB1009" s="28"/>
      <c r="AC1009" s="28"/>
      <c r="AD1009" s="28"/>
      <c r="AE1009" s="28"/>
      <c r="AF1009" s="28"/>
      <c r="AG1009" s="28"/>
      <c r="AH1009" s="28"/>
      <c r="AI1009" s="28"/>
      <c r="AJ1009" s="28"/>
      <c r="AK1009" s="28"/>
      <c r="AL1009" s="28"/>
      <c r="AM1009" s="28"/>
      <c r="AN1009" s="28"/>
      <c r="AO1009" s="28"/>
      <c r="AP1009" s="28"/>
      <c r="AQ1009" s="28"/>
      <c r="AR1009" s="28"/>
      <c r="AS1009" s="28"/>
      <c r="AT1009" s="28"/>
      <c r="AU1009" s="28"/>
      <c r="AV1009" s="28"/>
      <c r="AW1009" s="28"/>
      <c r="AX1009" s="28"/>
      <c r="AY1009" s="28"/>
      <c r="AZ1009" s="28"/>
      <c r="BA1009" s="28"/>
      <c r="BB1009" s="28"/>
      <c r="BC1009" s="28"/>
      <c r="BD1009" s="28"/>
      <c r="BE1009" s="28"/>
      <c r="BF1009" s="28"/>
      <c r="BG1009" s="28"/>
      <c r="BH1009" s="28"/>
      <c r="BI1009" s="28"/>
      <c r="BJ1009" s="28"/>
      <c r="BK1009" s="28"/>
      <c r="BL1009" s="28"/>
    </row>
    <row r="1010" spans="1:64" ht="12.75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  <c r="Z1010" s="28"/>
      <c r="AA1010" s="28"/>
      <c r="AB1010" s="28"/>
      <c r="AC1010" s="28"/>
      <c r="AD1010" s="28"/>
      <c r="AE1010" s="28"/>
      <c r="AF1010" s="28"/>
      <c r="AG1010" s="28"/>
      <c r="AH1010" s="28"/>
      <c r="AI1010" s="28"/>
      <c r="AJ1010" s="28"/>
      <c r="AK1010" s="28"/>
      <c r="AL1010" s="28"/>
      <c r="AM1010" s="28"/>
      <c r="AN1010" s="28"/>
      <c r="AO1010" s="28"/>
      <c r="AP1010" s="28"/>
      <c r="AQ1010" s="28"/>
      <c r="AR1010" s="28"/>
      <c r="AS1010" s="28"/>
      <c r="AT1010" s="28"/>
      <c r="AU1010" s="28"/>
      <c r="AV1010" s="28"/>
      <c r="AW1010" s="28"/>
      <c r="AX1010" s="28"/>
      <c r="AY1010" s="28"/>
      <c r="AZ1010" s="28"/>
      <c r="BA1010" s="28"/>
      <c r="BB1010" s="28"/>
      <c r="BC1010" s="28"/>
      <c r="BD1010" s="28"/>
      <c r="BE1010" s="28"/>
      <c r="BF1010" s="28"/>
      <c r="BG1010" s="28"/>
      <c r="BH1010" s="28"/>
      <c r="BI1010" s="28"/>
      <c r="BJ1010" s="28"/>
      <c r="BK1010" s="28"/>
      <c r="BL1010" s="28"/>
    </row>
    <row r="1011" spans="1:64" ht="12.75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  <c r="Z1011" s="28"/>
      <c r="AA1011" s="28"/>
      <c r="AB1011" s="28"/>
      <c r="AC1011" s="28"/>
      <c r="AD1011" s="28"/>
      <c r="AE1011" s="28"/>
      <c r="AF1011" s="28"/>
      <c r="AG1011" s="28"/>
      <c r="AH1011" s="28"/>
      <c r="AI1011" s="28"/>
      <c r="AJ1011" s="28"/>
      <c r="AK1011" s="28"/>
      <c r="AL1011" s="28"/>
      <c r="AM1011" s="28"/>
      <c r="AN1011" s="28"/>
      <c r="AO1011" s="28"/>
      <c r="AP1011" s="28"/>
      <c r="AQ1011" s="28"/>
      <c r="AR1011" s="28"/>
      <c r="AS1011" s="28"/>
      <c r="AT1011" s="28"/>
      <c r="AU1011" s="28"/>
      <c r="AV1011" s="28"/>
      <c r="AW1011" s="28"/>
      <c r="AX1011" s="28"/>
      <c r="AY1011" s="28"/>
      <c r="AZ1011" s="28"/>
      <c r="BA1011" s="28"/>
      <c r="BB1011" s="28"/>
      <c r="BC1011" s="28"/>
      <c r="BD1011" s="28"/>
      <c r="BE1011" s="28"/>
      <c r="BF1011" s="28"/>
      <c r="BG1011" s="28"/>
      <c r="BH1011" s="28"/>
      <c r="BI1011" s="28"/>
      <c r="BJ1011" s="28"/>
      <c r="BK1011" s="28"/>
      <c r="BL1011" s="28"/>
    </row>
    <row r="1012" spans="1:64" ht="12.75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  <c r="Z1012" s="28"/>
      <c r="AA1012" s="28"/>
      <c r="AB1012" s="28"/>
      <c r="AC1012" s="28"/>
      <c r="AD1012" s="28"/>
      <c r="AE1012" s="28"/>
      <c r="AF1012" s="28"/>
      <c r="AG1012" s="28"/>
      <c r="AH1012" s="28"/>
      <c r="AI1012" s="28"/>
      <c r="AJ1012" s="28"/>
      <c r="AK1012" s="28"/>
      <c r="AL1012" s="28"/>
      <c r="AM1012" s="28"/>
      <c r="AN1012" s="28"/>
      <c r="AO1012" s="28"/>
      <c r="AP1012" s="28"/>
      <c r="AQ1012" s="28"/>
      <c r="AR1012" s="28"/>
      <c r="AS1012" s="28"/>
      <c r="AT1012" s="28"/>
      <c r="AU1012" s="28"/>
      <c r="AV1012" s="28"/>
      <c r="AW1012" s="28"/>
      <c r="AX1012" s="28"/>
      <c r="AY1012" s="28"/>
      <c r="AZ1012" s="28"/>
      <c r="BA1012" s="28"/>
      <c r="BB1012" s="28"/>
      <c r="BC1012" s="28"/>
      <c r="BD1012" s="28"/>
      <c r="BE1012" s="28"/>
      <c r="BF1012" s="28"/>
      <c r="BG1012" s="28"/>
      <c r="BH1012" s="28"/>
      <c r="BI1012" s="28"/>
      <c r="BJ1012" s="28"/>
      <c r="BK1012" s="28"/>
      <c r="BL1012" s="28"/>
    </row>
    <row r="1013" spans="1:64" ht="12.75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  <c r="AB1013" s="28"/>
      <c r="AC1013" s="28"/>
      <c r="AD1013" s="28"/>
      <c r="AE1013" s="28"/>
      <c r="AF1013" s="28"/>
      <c r="AG1013" s="28"/>
      <c r="AH1013" s="28"/>
      <c r="AI1013" s="28"/>
      <c r="AJ1013" s="28"/>
      <c r="AK1013" s="28"/>
      <c r="AL1013" s="28"/>
      <c r="AM1013" s="28"/>
      <c r="AN1013" s="28"/>
      <c r="AO1013" s="28"/>
      <c r="AP1013" s="28"/>
      <c r="AQ1013" s="28"/>
      <c r="AR1013" s="28"/>
      <c r="AS1013" s="28"/>
      <c r="AT1013" s="28"/>
      <c r="AU1013" s="28"/>
      <c r="AV1013" s="28"/>
      <c r="AW1013" s="28"/>
      <c r="AX1013" s="28"/>
      <c r="AY1013" s="28"/>
      <c r="AZ1013" s="28"/>
      <c r="BA1013" s="28"/>
      <c r="BB1013" s="28"/>
      <c r="BC1013" s="28"/>
      <c r="BD1013" s="28"/>
      <c r="BE1013" s="28"/>
      <c r="BF1013" s="28"/>
      <c r="BG1013" s="28"/>
      <c r="BH1013" s="28"/>
      <c r="BI1013" s="28"/>
      <c r="BJ1013" s="28"/>
      <c r="BK1013" s="28"/>
      <c r="BL1013" s="28"/>
    </row>
    <row r="1014" spans="1:64" ht="12.75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  <c r="Z1014" s="28"/>
      <c r="AA1014" s="28"/>
      <c r="AB1014" s="28"/>
      <c r="AC1014" s="28"/>
      <c r="AD1014" s="28"/>
      <c r="AE1014" s="28"/>
      <c r="AF1014" s="28"/>
      <c r="AG1014" s="28"/>
      <c r="AH1014" s="28"/>
      <c r="AI1014" s="28"/>
      <c r="AJ1014" s="28"/>
      <c r="AK1014" s="28"/>
      <c r="AL1014" s="28"/>
      <c r="AM1014" s="28"/>
      <c r="AN1014" s="28"/>
      <c r="AO1014" s="28"/>
      <c r="AP1014" s="28"/>
      <c r="AQ1014" s="28"/>
      <c r="AR1014" s="28"/>
      <c r="AS1014" s="28"/>
      <c r="AT1014" s="28"/>
      <c r="AU1014" s="28"/>
      <c r="AV1014" s="28"/>
      <c r="AW1014" s="28"/>
      <c r="AX1014" s="28"/>
      <c r="AY1014" s="28"/>
      <c r="AZ1014" s="28"/>
      <c r="BA1014" s="28"/>
      <c r="BB1014" s="28"/>
      <c r="BC1014" s="28"/>
      <c r="BD1014" s="28"/>
      <c r="BE1014" s="28"/>
      <c r="BF1014" s="28"/>
      <c r="BG1014" s="28"/>
      <c r="BH1014" s="28"/>
      <c r="BI1014" s="28"/>
      <c r="BJ1014" s="28"/>
      <c r="BK1014" s="28"/>
      <c r="BL1014" s="28"/>
    </row>
    <row r="1015" spans="1:64" ht="12.75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28"/>
      <c r="AA1015" s="28"/>
      <c r="AB1015" s="28"/>
      <c r="AC1015" s="28"/>
      <c r="AD1015" s="28"/>
      <c r="AE1015" s="28"/>
      <c r="AF1015" s="28"/>
      <c r="AG1015" s="28"/>
      <c r="AH1015" s="28"/>
      <c r="AI1015" s="28"/>
      <c r="AJ1015" s="28"/>
      <c r="AK1015" s="28"/>
      <c r="AL1015" s="28"/>
      <c r="AM1015" s="28"/>
      <c r="AN1015" s="28"/>
      <c r="AO1015" s="28"/>
      <c r="AP1015" s="28"/>
      <c r="AQ1015" s="28"/>
      <c r="AR1015" s="28"/>
      <c r="AS1015" s="28"/>
      <c r="AT1015" s="28"/>
      <c r="AU1015" s="28"/>
      <c r="AV1015" s="28"/>
      <c r="AW1015" s="28"/>
      <c r="AX1015" s="28"/>
      <c r="AY1015" s="28"/>
      <c r="AZ1015" s="28"/>
      <c r="BA1015" s="28"/>
      <c r="BB1015" s="28"/>
      <c r="BC1015" s="28"/>
      <c r="BD1015" s="28"/>
      <c r="BE1015" s="28"/>
      <c r="BF1015" s="28"/>
      <c r="BG1015" s="28"/>
      <c r="BH1015" s="28"/>
      <c r="BI1015" s="28"/>
      <c r="BJ1015" s="28"/>
      <c r="BK1015" s="28"/>
      <c r="BL1015" s="28"/>
    </row>
    <row r="1016" spans="1:64" ht="12.75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  <c r="Z1016" s="28"/>
      <c r="AA1016" s="28"/>
      <c r="AB1016" s="28"/>
      <c r="AC1016" s="28"/>
      <c r="AD1016" s="28"/>
      <c r="AE1016" s="28"/>
      <c r="AF1016" s="28"/>
      <c r="AG1016" s="28"/>
      <c r="AH1016" s="28"/>
      <c r="AI1016" s="28"/>
      <c r="AJ1016" s="28"/>
      <c r="AK1016" s="28"/>
      <c r="AL1016" s="28"/>
      <c r="AM1016" s="28"/>
      <c r="AN1016" s="28"/>
      <c r="AO1016" s="28"/>
      <c r="AP1016" s="28"/>
      <c r="AQ1016" s="28"/>
      <c r="AR1016" s="28"/>
      <c r="AS1016" s="28"/>
      <c r="AT1016" s="28"/>
      <c r="AU1016" s="28"/>
      <c r="AV1016" s="28"/>
      <c r="AW1016" s="28"/>
      <c r="AX1016" s="28"/>
      <c r="AY1016" s="28"/>
      <c r="AZ1016" s="28"/>
      <c r="BA1016" s="28"/>
      <c r="BB1016" s="28"/>
      <c r="BC1016" s="28"/>
      <c r="BD1016" s="28"/>
      <c r="BE1016" s="28"/>
      <c r="BF1016" s="28"/>
      <c r="BG1016" s="28"/>
      <c r="BH1016" s="28"/>
      <c r="BI1016" s="28"/>
      <c r="BJ1016" s="28"/>
      <c r="BK1016" s="28"/>
      <c r="BL1016" s="28"/>
    </row>
    <row r="1017" spans="1:64" ht="12.75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  <c r="Z1017" s="28"/>
      <c r="AA1017" s="28"/>
      <c r="AB1017" s="28"/>
      <c r="AC1017" s="28"/>
      <c r="AD1017" s="28"/>
      <c r="AE1017" s="28"/>
      <c r="AF1017" s="28"/>
      <c r="AG1017" s="28"/>
      <c r="AH1017" s="28"/>
      <c r="AI1017" s="28"/>
      <c r="AJ1017" s="28"/>
      <c r="AK1017" s="28"/>
      <c r="AL1017" s="28"/>
      <c r="AM1017" s="28"/>
      <c r="AN1017" s="28"/>
      <c r="AO1017" s="28"/>
      <c r="AP1017" s="28"/>
      <c r="AQ1017" s="28"/>
      <c r="AR1017" s="28"/>
      <c r="AS1017" s="28"/>
      <c r="AT1017" s="28"/>
      <c r="AU1017" s="28"/>
      <c r="AV1017" s="28"/>
      <c r="AW1017" s="28"/>
      <c r="AX1017" s="28"/>
      <c r="AY1017" s="28"/>
      <c r="AZ1017" s="28"/>
      <c r="BA1017" s="28"/>
      <c r="BB1017" s="28"/>
      <c r="BC1017" s="28"/>
      <c r="BD1017" s="28"/>
      <c r="BE1017" s="28"/>
      <c r="BF1017" s="28"/>
      <c r="BG1017" s="28"/>
      <c r="BH1017" s="28"/>
      <c r="BI1017" s="28"/>
      <c r="BJ1017" s="28"/>
      <c r="BK1017" s="28"/>
      <c r="BL1017" s="28"/>
    </row>
    <row r="1018" spans="1:64" ht="12.75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  <c r="R1018" s="28"/>
      <c r="S1018" s="28"/>
      <c r="T1018" s="28"/>
      <c r="U1018" s="28"/>
      <c r="V1018" s="28"/>
      <c r="W1018" s="28"/>
      <c r="X1018" s="28"/>
      <c r="Y1018" s="28"/>
      <c r="Z1018" s="28"/>
      <c r="AA1018" s="28"/>
      <c r="AB1018" s="28"/>
      <c r="AC1018" s="28"/>
      <c r="AD1018" s="28"/>
      <c r="AE1018" s="28"/>
      <c r="AF1018" s="28"/>
      <c r="AG1018" s="28"/>
      <c r="AH1018" s="28"/>
      <c r="AI1018" s="28"/>
      <c r="AJ1018" s="28"/>
      <c r="AK1018" s="28"/>
      <c r="AL1018" s="28"/>
      <c r="AM1018" s="28"/>
      <c r="AN1018" s="28"/>
      <c r="AO1018" s="28"/>
      <c r="AP1018" s="28"/>
      <c r="AQ1018" s="28"/>
      <c r="AR1018" s="28"/>
      <c r="AS1018" s="28"/>
      <c r="AT1018" s="28"/>
      <c r="AU1018" s="28"/>
      <c r="AV1018" s="28"/>
      <c r="AW1018" s="28"/>
      <c r="AX1018" s="28"/>
      <c r="AY1018" s="28"/>
      <c r="AZ1018" s="28"/>
      <c r="BA1018" s="28"/>
      <c r="BB1018" s="28"/>
      <c r="BC1018" s="28"/>
      <c r="BD1018" s="28"/>
      <c r="BE1018" s="28"/>
      <c r="BF1018" s="28"/>
      <c r="BG1018" s="28"/>
      <c r="BH1018" s="28"/>
      <c r="BI1018" s="28"/>
      <c r="BJ1018" s="28"/>
      <c r="BK1018" s="28"/>
      <c r="BL1018" s="28"/>
    </row>
    <row r="1019" spans="1:64" ht="12.75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  <c r="R1019" s="28"/>
      <c r="S1019" s="28"/>
      <c r="T1019" s="28"/>
      <c r="U1019" s="28"/>
      <c r="V1019" s="28"/>
      <c r="W1019" s="28"/>
      <c r="X1019" s="28"/>
      <c r="Y1019" s="28"/>
      <c r="Z1019" s="28"/>
      <c r="AA1019" s="28"/>
      <c r="AB1019" s="28"/>
      <c r="AC1019" s="28"/>
      <c r="AD1019" s="28"/>
      <c r="AE1019" s="28"/>
      <c r="AF1019" s="28"/>
      <c r="AG1019" s="28"/>
      <c r="AH1019" s="28"/>
      <c r="AI1019" s="28"/>
      <c r="AJ1019" s="28"/>
      <c r="AK1019" s="28"/>
      <c r="AL1019" s="28"/>
      <c r="AM1019" s="28"/>
      <c r="AN1019" s="28"/>
      <c r="AO1019" s="28"/>
      <c r="AP1019" s="28"/>
      <c r="AQ1019" s="28"/>
      <c r="AR1019" s="28"/>
      <c r="AS1019" s="28"/>
      <c r="AT1019" s="28"/>
      <c r="AU1019" s="28"/>
      <c r="AV1019" s="28"/>
      <c r="AW1019" s="28"/>
      <c r="AX1019" s="28"/>
      <c r="AY1019" s="28"/>
      <c r="AZ1019" s="28"/>
      <c r="BA1019" s="28"/>
      <c r="BB1019" s="28"/>
      <c r="BC1019" s="28"/>
      <c r="BD1019" s="28"/>
      <c r="BE1019" s="28"/>
      <c r="BF1019" s="28"/>
      <c r="BG1019" s="28"/>
      <c r="BH1019" s="28"/>
      <c r="BI1019" s="28"/>
      <c r="BJ1019" s="28"/>
      <c r="BK1019" s="28"/>
      <c r="BL1019" s="28"/>
    </row>
    <row r="1020" spans="1:64" ht="12.75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  <c r="R1020" s="28"/>
      <c r="S1020" s="28"/>
      <c r="T1020" s="28"/>
      <c r="U1020" s="28"/>
      <c r="V1020" s="28"/>
      <c r="W1020" s="28"/>
      <c r="X1020" s="28"/>
      <c r="Y1020" s="28"/>
      <c r="Z1020" s="28"/>
      <c r="AA1020" s="28"/>
      <c r="AB1020" s="28"/>
      <c r="AC1020" s="28"/>
      <c r="AD1020" s="28"/>
      <c r="AE1020" s="28"/>
      <c r="AF1020" s="28"/>
      <c r="AG1020" s="28"/>
      <c r="AH1020" s="28"/>
      <c r="AI1020" s="28"/>
      <c r="AJ1020" s="28"/>
      <c r="AK1020" s="28"/>
      <c r="AL1020" s="28"/>
      <c r="AM1020" s="28"/>
      <c r="AN1020" s="28"/>
      <c r="AO1020" s="28"/>
      <c r="AP1020" s="28"/>
      <c r="AQ1020" s="28"/>
      <c r="AR1020" s="28"/>
      <c r="AS1020" s="28"/>
      <c r="AT1020" s="28"/>
      <c r="AU1020" s="28"/>
      <c r="AV1020" s="28"/>
      <c r="AW1020" s="28"/>
      <c r="AX1020" s="28"/>
      <c r="AY1020" s="28"/>
      <c r="AZ1020" s="28"/>
      <c r="BA1020" s="28"/>
      <c r="BB1020" s="28"/>
      <c r="BC1020" s="28"/>
      <c r="BD1020" s="28"/>
      <c r="BE1020" s="28"/>
      <c r="BF1020" s="28"/>
      <c r="BG1020" s="28"/>
      <c r="BH1020" s="28"/>
      <c r="BI1020" s="28"/>
      <c r="BJ1020" s="28"/>
      <c r="BK1020" s="28"/>
      <c r="BL1020" s="28"/>
    </row>
    <row r="1021" spans="1:64" ht="12.75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  <c r="R1021" s="28"/>
      <c r="S1021" s="28"/>
      <c r="T1021" s="28"/>
      <c r="U1021" s="28"/>
      <c r="V1021" s="28"/>
      <c r="W1021" s="28"/>
      <c r="X1021" s="28"/>
      <c r="Y1021" s="28"/>
      <c r="Z1021" s="28"/>
      <c r="AA1021" s="28"/>
      <c r="AB1021" s="28"/>
      <c r="AC1021" s="28"/>
      <c r="AD1021" s="28"/>
      <c r="AE1021" s="28"/>
      <c r="AF1021" s="28"/>
      <c r="AG1021" s="28"/>
      <c r="AH1021" s="28"/>
      <c r="AI1021" s="28"/>
      <c r="AJ1021" s="28"/>
      <c r="AK1021" s="28"/>
      <c r="AL1021" s="28"/>
      <c r="AM1021" s="28"/>
      <c r="AN1021" s="28"/>
      <c r="AO1021" s="28"/>
      <c r="AP1021" s="28"/>
      <c r="AQ1021" s="28"/>
      <c r="AR1021" s="28"/>
      <c r="AS1021" s="28"/>
      <c r="AT1021" s="28"/>
      <c r="AU1021" s="28"/>
      <c r="AV1021" s="28"/>
      <c r="AW1021" s="28"/>
      <c r="AX1021" s="28"/>
      <c r="AY1021" s="28"/>
      <c r="AZ1021" s="28"/>
      <c r="BA1021" s="28"/>
      <c r="BB1021" s="28"/>
      <c r="BC1021" s="28"/>
      <c r="BD1021" s="28"/>
      <c r="BE1021" s="28"/>
      <c r="BF1021" s="28"/>
      <c r="BG1021" s="28"/>
      <c r="BH1021" s="28"/>
      <c r="BI1021" s="28"/>
      <c r="BJ1021" s="28"/>
      <c r="BK1021" s="28"/>
      <c r="BL1021" s="28"/>
    </row>
    <row r="1022" spans="1:64" ht="12.75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  <c r="R1022" s="28"/>
      <c r="S1022" s="28"/>
      <c r="T1022" s="28"/>
      <c r="U1022" s="28"/>
      <c r="V1022" s="28"/>
      <c r="W1022" s="28"/>
      <c r="X1022" s="28"/>
      <c r="Y1022" s="28"/>
      <c r="Z1022" s="28"/>
      <c r="AA1022" s="28"/>
      <c r="AB1022" s="28"/>
      <c r="AC1022" s="28"/>
      <c r="AD1022" s="28"/>
      <c r="AE1022" s="28"/>
      <c r="AF1022" s="28"/>
      <c r="AG1022" s="28"/>
      <c r="AH1022" s="28"/>
      <c r="AI1022" s="28"/>
      <c r="AJ1022" s="28"/>
      <c r="AK1022" s="28"/>
      <c r="AL1022" s="28"/>
      <c r="AM1022" s="28"/>
      <c r="AN1022" s="28"/>
      <c r="AO1022" s="28"/>
      <c r="AP1022" s="28"/>
      <c r="AQ1022" s="28"/>
      <c r="AR1022" s="28"/>
      <c r="AS1022" s="28"/>
      <c r="AT1022" s="28"/>
      <c r="AU1022" s="28"/>
      <c r="AV1022" s="28"/>
      <c r="AW1022" s="28"/>
      <c r="AX1022" s="28"/>
      <c r="AY1022" s="28"/>
      <c r="AZ1022" s="28"/>
      <c r="BA1022" s="28"/>
      <c r="BB1022" s="28"/>
      <c r="BC1022" s="28"/>
      <c r="BD1022" s="28"/>
      <c r="BE1022" s="28"/>
      <c r="BF1022" s="28"/>
      <c r="BG1022" s="28"/>
      <c r="BH1022" s="28"/>
      <c r="BI1022" s="28"/>
      <c r="BJ1022" s="28"/>
      <c r="BK1022" s="28"/>
      <c r="BL1022" s="28"/>
    </row>
    <row r="1023" spans="1:64" ht="12.75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  <c r="R1023" s="28"/>
      <c r="S1023" s="28"/>
      <c r="T1023" s="28"/>
      <c r="U1023" s="28"/>
      <c r="V1023" s="28"/>
      <c r="W1023" s="28"/>
      <c r="X1023" s="28"/>
      <c r="Y1023" s="28"/>
      <c r="Z1023" s="28"/>
      <c r="AA1023" s="28"/>
      <c r="AB1023" s="28"/>
      <c r="AC1023" s="28"/>
      <c r="AD1023" s="28"/>
      <c r="AE1023" s="28"/>
      <c r="AF1023" s="28"/>
      <c r="AG1023" s="28"/>
      <c r="AH1023" s="28"/>
      <c r="AI1023" s="28"/>
      <c r="AJ1023" s="28"/>
      <c r="AK1023" s="28"/>
      <c r="AL1023" s="28"/>
      <c r="AM1023" s="28"/>
      <c r="AN1023" s="28"/>
      <c r="AO1023" s="28"/>
      <c r="AP1023" s="28"/>
      <c r="AQ1023" s="28"/>
      <c r="AR1023" s="28"/>
      <c r="AS1023" s="28"/>
      <c r="AT1023" s="28"/>
      <c r="AU1023" s="28"/>
      <c r="AV1023" s="28"/>
      <c r="AW1023" s="28"/>
      <c r="AX1023" s="28"/>
      <c r="AY1023" s="28"/>
      <c r="AZ1023" s="28"/>
      <c r="BA1023" s="28"/>
      <c r="BB1023" s="28"/>
      <c r="BC1023" s="28"/>
      <c r="BD1023" s="28"/>
      <c r="BE1023" s="28"/>
      <c r="BF1023" s="28"/>
      <c r="BG1023" s="28"/>
      <c r="BH1023" s="28"/>
      <c r="BI1023" s="28"/>
      <c r="BJ1023" s="28"/>
      <c r="BK1023" s="28"/>
      <c r="BL1023" s="28"/>
    </row>
    <row r="1024" spans="1:64" ht="12.75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28"/>
      <c r="T1024" s="28"/>
      <c r="U1024" s="28"/>
      <c r="V1024" s="28"/>
      <c r="W1024" s="28"/>
      <c r="X1024" s="28"/>
      <c r="Y1024" s="28"/>
      <c r="Z1024" s="28"/>
      <c r="AA1024" s="28"/>
      <c r="AB1024" s="28"/>
      <c r="AC1024" s="28"/>
      <c r="AD1024" s="28"/>
      <c r="AE1024" s="28"/>
      <c r="AF1024" s="28"/>
      <c r="AG1024" s="28"/>
      <c r="AH1024" s="28"/>
      <c r="AI1024" s="28"/>
      <c r="AJ1024" s="28"/>
      <c r="AK1024" s="28"/>
      <c r="AL1024" s="28"/>
      <c r="AM1024" s="28"/>
      <c r="AN1024" s="28"/>
      <c r="AO1024" s="28"/>
      <c r="AP1024" s="28"/>
      <c r="AQ1024" s="28"/>
      <c r="AR1024" s="28"/>
      <c r="AS1024" s="28"/>
      <c r="AT1024" s="28"/>
      <c r="AU1024" s="28"/>
      <c r="AV1024" s="28"/>
      <c r="AW1024" s="28"/>
      <c r="AX1024" s="28"/>
      <c r="AY1024" s="28"/>
      <c r="AZ1024" s="28"/>
      <c r="BA1024" s="28"/>
      <c r="BB1024" s="28"/>
      <c r="BC1024" s="28"/>
      <c r="BD1024" s="28"/>
      <c r="BE1024" s="28"/>
      <c r="BF1024" s="28"/>
      <c r="BG1024" s="28"/>
      <c r="BH1024" s="28"/>
      <c r="BI1024" s="28"/>
      <c r="BJ1024" s="28"/>
      <c r="BK1024" s="28"/>
      <c r="BL1024" s="28"/>
    </row>
    <row r="1025" spans="1:64" ht="12.75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28"/>
      <c r="U1025" s="28"/>
      <c r="V1025" s="28"/>
      <c r="W1025" s="28"/>
      <c r="X1025" s="28"/>
      <c r="Y1025" s="28"/>
      <c r="Z1025" s="28"/>
      <c r="AA1025" s="28"/>
      <c r="AB1025" s="28"/>
      <c r="AC1025" s="28"/>
      <c r="AD1025" s="28"/>
      <c r="AE1025" s="28"/>
      <c r="AF1025" s="28"/>
      <c r="AG1025" s="28"/>
      <c r="AH1025" s="28"/>
      <c r="AI1025" s="28"/>
      <c r="AJ1025" s="28"/>
      <c r="AK1025" s="28"/>
      <c r="AL1025" s="28"/>
      <c r="AM1025" s="28"/>
      <c r="AN1025" s="28"/>
      <c r="AO1025" s="28"/>
      <c r="AP1025" s="28"/>
      <c r="AQ1025" s="28"/>
      <c r="AR1025" s="28"/>
      <c r="AS1025" s="28"/>
      <c r="AT1025" s="28"/>
      <c r="AU1025" s="28"/>
      <c r="AV1025" s="28"/>
      <c r="AW1025" s="28"/>
      <c r="AX1025" s="28"/>
      <c r="AY1025" s="28"/>
      <c r="AZ1025" s="28"/>
      <c r="BA1025" s="28"/>
      <c r="BB1025" s="28"/>
      <c r="BC1025" s="28"/>
      <c r="BD1025" s="28"/>
      <c r="BE1025" s="28"/>
      <c r="BF1025" s="28"/>
      <c r="BG1025" s="28"/>
      <c r="BH1025" s="28"/>
      <c r="BI1025" s="28"/>
      <c r="BJ1025" s="28"/>
      <c r="BK1025" s="28"/>
      <c r="BL1025" s="28"/>
    </row>
    <row r="1026" spans="1:64" ht="12.75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  <c r="W1026" s="28"/>
      <c r="X1026" s="28"/>
      <c r="Y1026" s="28"/>
      <c r="Z1026" s="28"/>
      <c r="AA1026" s="28"/>
      <c r="AB1026" s="28"/>
      <c r="AC1026" s="28"/>
      <c r="AD1026" s="28"/>
      <c r="AE1026" s="28"/>
      <c r="AF1026" s="28"/>
      <c r="AG1026" s="28"/>
      <c r="AH1026" s="28"/>
      <c r="AI1026" s="28"/>
      <c r="AJ1026" s="28"/>
      <c r="AK1026" s="28"/>
      <c r="AL1026" s="28"/>
      <c r="AM1026" s="28"/>
      <c r="AN1026" s="28"/>
      <c r="AO1026" s="28"/>
      <c r="AP1026" s="28"/>
      <c r="AQ1026" s="28"/>
      <c r="AR1026" s="28"/>
      <c r="AS1026" s="28"/>
      <c r="AT1026" s="28"/>
      <c r="AU1026" s="28"/>
      <c r="AV1026" s="28"/>
      <c r="AW1026" s="28"/>
      <c r="AX1026" s="28"/>
      <c r="AY1026" s="28"/>
      <c r="AZ1026" s="28"/>
      <c r="BA1026" s="28"/>
      <c r="BB1026" s="28"/>
      <c r="BC1026" s="28"/>
      <c r="BD1026" s="28"/>
      <c r="BE1026" s="28"/>
      <c r="BF1026" s="28"/>
      <c r="BG1026" s="28"/>
      <c r="BH1026" s="28"/>
      <c r="BI1026" s="28"/>
      <c r="BJ1026" s="28"/>
      <c r="BK1026" s="28"/>
      <c r="BL1026" s="28"/>
    </row>
    <row r="1027" spans="1:64" ht="12.75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  <c r="R1027" s="28"/>
      <c r="S1027" s="28"/>
      <c r="T1027" s="28"/>
      <c r="U1027" s="28"/>
      <c r="V1027" s="28"/>
      <c r="W1027" s="28"/>
      <c r="X1027" s="28"/>
      <c r="Y1027" s="28"/>
      <c r="Z1027" s="28"/>
      <c r="AA1027" s="28"/>
      <c r="AB1027" s="28"/>
      <c r="AC1027" s="28"/>
      <c r="AD1027" s="28"/>
      <c r="AE1027" s="28"/>
      <c r="AF1027" s="28"/>
      <c r="AG1027" s="28"/>
      <c r="AH1027" s="28"/>
      <c r="AI1027" s="28"/>
      <c r="AJ1027" s="28"/>
      <c r="AK1027" s="28"/>
      <c r="AL1027" s="28"/>
      <c r="AM1027" s="28"/>
      <c r="AN1027" s="28"/>
      <c r="AO1027" s="28"/>
      <c r="AP1027" s="28"/>
      <c r="AQ1027" s="28"/>
      <c r="AR1027" s="28"/>
      <c r="AS1027" s="28"/>
      <c r="AT1027" s="28"/>
      <c r="AU1027" s="28"/>
      <c r="AV1027" s="28"/>
      <c r="AW1027" s="28"/>
      <c r="AX1027" s="28"/>
      <c r="AY1027" s="28"/>
      <c r="AZ1027" s="28"/>
      <c r="BA1027" s="28"/>
      <c r="BB1027" s="28"/>
      <c r="BC1027" s="28"/>
      <c r="BD1027" s="28"/>
      <c r="BE1027" s="28"/>
      <c r="BF1027" s="28"/>
      <c r="BG1027" s="28"/>
      <c r="BH1027" s="28"/>
      <c r="BI1027" s="28"/>
      <c r="BJ1027" s="28"/>
      <c r="BK1027" s="28"/>
      <c r="BL1027" s="28"/>
    </row>
    <row r="1028" spans="1:64" ht="12.75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  <c r="R1028" s="28"/>
      <c r="S1028" s="28"/>
      <c r="T1028" s="28"/>
      <c r="U1028" s="28"/>
      <c r="V1028" s="28"/>
      <c r="W1028" s="28"/>
      <c r="X1028" s="28"/>
      <c r="Y1028" s="28"/>
      <c r="Z1028" s="28"/>
      <c r="AA1028" s="28"/>
      <c r="AB1028" s="28"/>
      <c r="AC1028" s="28"/>
      <c r="AD1028" s="28"/>
      <c r="AE1028" s="28"/>
      <c r="AF1028" s="28"/>
      <c r="AG1028" s="28"/>
      <c r="AH1028" s="28"/>
      <c r="AI1028" s="28"/>
      <c r="AJ1028" s="28"/>
      <c r="AK1028" s="28"/>
      <c r="AL1028" s="28"/>
      <c r="AM1028" s="28"/>
      <c r="AN1028" s="28"/>
      <c r="AO1028" s="28"/>
      <c r="AP1028" s="28"/>
      <c r="AQ1028" s="28"/>
      <c r="AR1028" s="28"/>
      <c r="AS1028" s="28"/>
      <c r="AT1028" s="28"/>
      <c r="AU1028" s="28"/>
      <c r="AV1028" s="28"/>
      <c r="AW1028" s="28"/>
      <c r="AX1028" s="28"/>
      <c r="AY1028" s="28"/>
      <c r="AZ1028" s="28"/>
      <c r="BA1028" s="28"/>
      <c r="BB1028" s="28"/>
      <c r="BC1028" s="28"/>
      <c r="BD1028" s="28"/>
      <c r="BE1028" s="28"/>
      <c r="BF1028" s="28"/>
      <c r="BG1028" s="28"/>
      <c r="BH1028" s="28"/>
      <c r="BI1028" s="28"/>
      <c r="BJ1028" s="28"/>
      <c r="BK1028" s="28"/>
      <c r="BL1028" s="28"/>
    </row>
    <row r="1029" spans="1:64" ht="12.75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28"/>
      <c r="U1029" s="28"/>
      <c r="V1029" s="28"/>
      <c r="W1029" s="28"/>
      <c r="X1029" s="28"/>
      <c r="Y1029" s="28"/>
      <c r="Z1029" s="28"/>
      <c r="AA1029" s="28"/>
      <c r="AB1029" s="28"/>
      <c r="AC1029" s="28"/>
      <c r="AD1029" s="28"/>
      <c r="AE1029" s="28"/>
      <c r="AF1029" s="28"/>
      <c r="AG1029" s="28"/>
      <c r="AH1029" s="28"/>
      <c r="AI1029" s="28"/>
      <c r="AJ1029" s="28"/>
      <c r="AK1029" s="28"/>
      <c r="AL1029" s="28"/>
      <c r="AM1029" s="28"/>
      <c r="AN1029" s="28"/>
      <c r="AO1029" s="28"/>
      <c r="AP1029" s="28"/>
      <c r="AQ1029" s="28"/>
      <c r="AR1029" s="28"/>
      <c r="AS1029" s="28"/>
      <c r="AT1029" s="28"/>
      <c r="AU1029" s="28"/>
      <c r="AV1029" s="28"/>
      <c r="AW1029" s="28"/>
      <c r="AX1029" s="28"/>
      <c r="AY1029" s="28"/>
      <c r="AZ1029" s="28"/>
      <c r="BA1029" s="28"/>
      <c r="BB1029" s="28"/>
      <c r="BC1029" s="28"/>
      <c r="BD1029" s="28"/>
      <c r="BE1029" s="28"/>
      <c r="BF1029" s="28"/>
      <c r="BG1029" s="28"/>
      <c r="BH1029" s="28"/>
      <c r="BI1029" s="28"/>
      <c r="BJ1029" s="28"/>
      <c r="BK1029" s="28"/>
      <c r="BL1029" s="28"/>
    </row>
    <row r="1030" spans="1:64" ht="12.75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28"/>
      <c r="T1030" s="28"/>
      <c r="U1030" s="28"/>
      <c r="V1030" s="28"/>
      <c r="W1030" s="28"/>
      <c r="X1030" s="28"/>
      <c r="Y1030" s="28"/>
      <c r="Z1030" s="28"/>
      <c r="AA1030" s="28"/>
      <c r="AB1030" s="28"/>
      <c r="AC1030" s="28"/>
      <c r="AD1030" s="28"/>
      <c r="AE1030" s="28"/>
      <c r="AF1030" s="28"/>
      <c r="AG1030" s="28"/>
      <c r="AH1030" s="28"/>
      <c r="AI1030" s="28"/>
      <c r="AJ1030" s="28"/>
      <c r="AK1030" s="28"/>
      <c r="AL1030" s="28"/>
      <c r="AM1030" s="28"/>
      <c r="AN1030" s="28"/>
      <c r="AO1030" s="28"/>
      <c r="AP1030" s="28"/>
      <c r="AQ1030" s="28"/>
      <c r="AR1030" s="28"/>
      <c r="AS1030" s="28"/>
      <c r="AT1030" s="28"/>
      <c r="AU1030" s="28"/>
      <c r="AV1030" s="28"/>
      <c r="AW1030" s="28"/>
      <c r="AX1030" s="28"/>
      <c r="AY1030" s="28"/>
      <c r="AZ1030" s="28"/>
      <c r="BA1030" s="28"/>
      <c r="BB1030" s="28"/>
      <c r="BC1030" s="28"/>
      <c r="BD1030" s="28"/>
      <c r="BE1030" s="28"/>
      <c r="BF1030" s="28"/>
      <c r="BG1030" s="28"/>
      <c r="BH1030" s="28"/>
      <c r="BI1030" s="28"/>
      <c r="BJ1030" s="28"/>
      <c r="BK1030" s="28"/>
      <c r="BL1030" s="28"/>
    </row>
    <row r="1031" spans="1:64" ht="12.75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28"/>
      <c r="AD1031" s="28"/>
      <c r="AE1031" s="28"/>
      <c r="AF1031" s="28"/>
      <c r="AG1031" s="28"/>
      <c r="AH1031" s="28"/>
      <c r="AI1031" s="28"/>
      <c r="AJ1031" s="28"/>
      <c r="AK1031" s="28"/>
      <c r="AL1031" s="28"/>
      <c r="AM1031" s="28"/>
      <c r="AN1031" s="28"/>
      <c r="AO1031" s="28"/>
      <c r="AP1031" s="28"/>
      <c r="AQ1031" s="28"/>
      <c r="AR1031" s="28"/>
      <c r="AS1031" s="28"/>
      <c r="AT1031" s="28"/>
      <c r="AU1031" s="28"/>
      <c r="AV1031" s="28"/>
      <c r="AW1031" s="28"/>
      <c r="AX1031" s="28"/>
      <c r="AY1031" s="28"/>
      <c r="AZ1031" s="28"/>
      <c r="BA1031" s="28"/>
      <c r="BB1031" s="28"/>
      <c r="BC1031" s="28"/>
      <c r="BD1031" s="28"/>
      <c r="BE1031" s="28"/>
      <c r="BF1031" s="28"/>
      <c r="BG1031" s="28"/>
      <c r="BH1031" s="28"/>
      <c r="BI1031" s="28"/>
      <c r="BJ1031" s="28"/>
      <c r="BK1031" s="28"/>
      <c r="BL1031" s="28"/>
    </row>
    <row r="1032" spans="1:64" ht="12.75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  <c r="R1032" s="28"/>
      <c r="S1032" s="28"/>
      <c r="T1032" s="28"/>
      <c r="U1032" s="28"/>
      <c r="V1032" s="28"/>
      <c r="W1032" s="28"/>
      <c r="X1032" s="28"/>
      <c r="Y1032" s="28"/>
      <c r="Z1032" s="28"/>
      <c r="AA1032" s="28"/>
      <c r="AB1032" s="28"/>
      <c r="AC1032" s="28"/>
      <c r="AD1032" s="28"/>
      <c r="AE1032" s="28"/>
      <c r="AF1032" s="28"/>
      <c r="AG1032" s="28"/>
      <c r="AH1032" s="28"/>
      <c r="AI1032" s="28"/>
      <c r="AJ1032" s="28"/>
      <c r="AK1032" s="28"/>
      <c r="AL1032" s="28"/>
      <c r="AM1032" s="28"/>
      <c r="AN1032" s="28"/>
      <c r="AO1032" s="28"/>
      <c r="AP1032" s="28"/>
      <c r="AQ1032" s="28"/>
      <c r="AR1032" s="28"/>
      <c r="AS1032" s="28"/>
      <c r="AT1032" s="28"/>
      <c r="AU1032" s="28"/>
      <c r="AV1032" s="28"/>
      <c r="AW1032" s="28"/>
      <c r="AX1032" s="28"/>
      <c r="AY1032" s="28"/>
      <c r="AZ1032" s="28"/>
      <c r="BA1032" s="28"/>
      <c r="BB1032" s="28"/>
      <c r="BC1032" s="28"/>
      <c r="BD1032" s="28"/>
      <c r="BE1032" s="28"/>
      <c r="BF1032" s="28"/>
      <c r="BG1032" s="28"/>
      <c r="BH1032" s="28"/>
      <c r="BI1032" s="28"/>
      <c r="BJ1032" s="28"/>
      <c r="BK1032" s="28"/>
      <c r="BL1032" s="28"/>
    </row>
    <row r="1033" spans="1:64" ht="12.75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  <c r="R1033" s="28"/>
      <c r="S1033" s="28"/>
      <c r="T1033" s="28"/>
      <c r="U1033" s="28"/>
      <c r="V1033" s="28"/>
      <c r="W1033" s="28"/>
      <c r="X1033" s="28"/>
      <c r="Y1033" s="28"/>
      <c r="Z1033" s="28"/>
      <c r="AA1033" s="28"/>
      <c r="AB1033" s="28"/>
      <c r="AC1033" s="28"/>
      <c r="AD1033" s="28"/>
      <c r="AE1033" s="28"/>
      <c r="AF1033" s="28"/>
      <c r="AG1033" s="28"/>
      <c r="AH1033" s="28"/>
      <c r="AI1033" s="28"/>
      <c r="AJ1033" s="28"/>
      <c r="AK1033" s="28"/>
      <c r="AL1033" s="28"/>
      <c r="AM1033" s="28"/>
      <c r="AN1033" s="28"/>
      <c r="AO1033" s="28"/>
      <c r="AP1033" s="28"/>
      <c r="AQ1033" s="28"/>
      <c r="AR1033" s="28"/>
      <c r="AS1033" s="28"/>
      <c r="AT1033" s="28"/>
      <c r="AU1033" s="28"/>
      <c r="AV1033" s="28"/>
      <c r="AW1033" s="28"/>
      <c r="AX1033" s="28"/>
      <c r="AY1033" s="28"/>
      <c r="AZ1033" s="28"/>
      <c r="BA1033" s="28"/>
      <c r="BB1033" s="28"/>
      <c r="BC1033" s="28"/>
      <c r="BD1033" s="28"/>
      <c r="BE1033" s="28"/>
      <c r="BF1033" s="28"/>
      <c r="BG1033" s="28"/>
      <c r="BH1033" s="28"/>
      <c r="BI1033" s="28"/>
      <c r="BJ1033" s="28"/>
      <c r="BK1033" s="28"/>
      <c r="BL1033" s="28"/>
    </row>
    <row r="1034" spans="1:64" ht="12.75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28"/>
      <c r="T1034" s="28"/>
      <c r="U1034" s="28"/>
      <c r="V1034" s="28"/>
      <c r="W1034" s="28"/>
      <c r="X1034" s="28"/>
      <c r="Y1034" s="28"/>
      <c r="Z1034" s="28"/>
      <c r="AA1034" s="28"/>
      <c r="AB1034" s="28"/>
      <c r="AC1034" s="28"/>
      <c r="AD1034" s="28"/>
      <c r="AE1034" s="28"/>
      <c r="AF1034" s="28"/>
      <c r="AG1034" s="28"/>
      <c r="AH1034" s="28"/>
      <c r="AI1034" s="28"/>
      <c r="AJ1034" s="28"/>
      <c r="AK1034" s="28"/>
      <c r="AL1034" s="28"/>
      <c r="AM1034" s="28"/>
      <c r="AN1034" s="28"/>
      <c r="AO1034" s="28"/>
      <c r="AP1034" s="28"/>
      <c r="AQ1034" s="28"/>
      <c r="AR1034" s="28"/>
      <c r="AS1034" s="28"/>
      <c r="AT1034" s="28"/>
      <c r="AU1034" s="28"/>
      <c r="AV1034" s="28"/>
      <c r="AW1034" s="28"/>
      <c r="AX1034" s="28"/>
      <c r="AY1034" s="28"/>
      <c r="AZ1034" s="28"/>
      <c r="BA1034" s="28"/>
      <c r="BB1034" s="28"/>
      <c r="BC1034" s="28"/>
      <c r="BD1034" s="28"/>
      <c r="BE1034" s="28"/>
      <c r="BF1034" s="28"/>
      <c r="BG1034" s="28"/>
      <c r="BH1034" s="28"/>
      <c r="BI1034" s="28"/>
      <c r="BJ1034" s="28"/>
      <c r="BK1034" s="28"/>
      <c r="BL1034" s="28"/>
    </row>
    <row r="1035" spans="1:64" ht="12.75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  <c r="R1035" s="28"/>
      <c r="S1035" s="28"/>
      <c r="T1035" s="28"/>
      <c r="U1035" s="28"/>
      <c r="V1035" s="28"/>
      <c r="W1035" s="28"/>
      <c r="X1035" s="28"/>
      <c r="Y1035" s="28"/>
      <c r="Z1035" s="28"/>
      <c r="AA1035" s="28"/>
      <c r="AB1035" s="28"/>
      <c r="AC1035" s="28"/>
      <c r="AD1035" s="28"/>
      <c r="AE1035" s="28"/>
      <c r="AF1035" s="28"/>
      <c r="AG1035" s="28"/>
      <c r="AH1035" s="28"/>
      <c r="AI1035" s="28"/>
      <c r="AJ1035" s="28"/>
      <c r="AK1035" s="28"/>
      <c r="AL1035" s="28"/>
      <c r="AM1035" s="28"/>
      <c r="AN1035" s="28"/>
      <c r="AO1035" s="28"/>
      <c r="AP1035" s="28"/>
      <c r="AQ1035" s="28"/>
      <c r="AR1035" s="28"/>
      <c r="AS1035" s="28"/>
      <c r="AT1035" s="28"/>
      <c r="AU1035" s="28"/>
      <c r="AV1035" s="28"/>
      <c r="AW1035" s="28"/>
      <c r="AX1035" s="28"/>
      <c r="AY1035" s="28"/>
      <c r="AZ1035" s="28"/>
      <c r="BA1035" s="28"/>
      <c r="BB1035" s="28"/>
      <c r="BC1035" s="28"/>
      <c r="BD1035" s="28"/>
      <c r="BE1035" s="28"/>
      <c r="BF1035" s="28"/>
      <c r="BG1035" s="28"/>
      <c r="BH1035" s="28"/>
      <c r="BI1035" s="28"/>
      <c r="BJ1035" s="28"/>
      <c r="BK1035" s="28"/>
      <c r="BL1035" s="28"/>
    </row>
    <row r="1036" spans="1:64" ht="12.75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  <c r="U1036" s="28"/>
      <c r="V1036" s="28"/>
      <c r="W1036" s="28"/>
      <c r="X1036" s="28"/>
      <c r="Y1036" s="28"/>
      <c r="Z1036" s="28"/>
      <c r="AA1036" s="28"/>
      <c r="AB1036" s="28"/>
      <c r="AC1036" s="28"/>
      <c r="AD1036" s="28"/>
      <c r="AE1036" s="28"/>
      <c r="AF1036" s="28"/>
      <c r="AG1036" s="28"/>
      <c r="AH1036" s="28"/>
      <c r="AI1036" s="28"/>
      <c r="AJ1036" s="28"/>
      <c r="AK1036" s="28"/>
      <c r="AL1036" s="28"/>
      <c r="AM1036" s="28"/>
      <c r="AN1036" s="28"/>
      <c r="AO1036" s="28"/>
      <c r="AP1036" s="28"/>
      <c r="AQ1036" s="28"/>
      <c r="AR1036" s="28"/>
      <c r="AS1036" s="28"/>
      <c r="AT1036" s="28"/>
      <c r="AU1036" s="28"/>
      <c r="AV1036" s="28"/>
      <c r="AW1036" s="28"/>
      <c r="AX1036" s="28"/>
      <c r="AY1036" s="28"/>
      <c r="AZ1036" s="28"/>
      <c r="BA1036" s="28"/>
      <c r="BB1036" s="28"/>
      <c r="BC1036" s="28"/>
      <c r="BD1036" s="28"/>
      <c r="BE1036" s="28"/>
      <c r="BF1036" s="28"/>
      <c r="BG1036" s="28"/>
      <c r="BH1036" s="28"/>
      <c r="BI1036" s="28"/>
      <c r="BJ1036" s="28"/>
      <c r="BK1036" s="28"/>
      <c r="BL1036" s="28"/>
    </row>
    <row r="1037" spans="1:64" ht="12.75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  <c r="R1037" s="28"/>
      <c r="S1037" s="28"/>
      <c r="T1037" s="28"/>
      <c r="U1037" s="28"/>
      <c r="V1037" s="28"/>
      <c r="W1037" s="28"/>
      <c r="X1037" s="28"/>
      <c r="Y1037" s="28"/>
      <c r="Z1037" s="28"/>
      <c r="AA1037" s="28"/>
      <c r="AB1037" s="28"/>
      <c r="AC1037" s="28"/>
      <c r="AD1037" s="28"/>
      <c r="AE1037" s="28"/>
      <c r="AF1037" s="28"/>
      <c r="AG1037" s="28"/>
      <c r="AH1037" s="28"/>
      <c r="AI1037" s="28"/>
      <c r="AJ1037" s="28"/>
      <c r="AK1037" s="28"/>
      <c r="AL1037" s="28"/>
      <c r="AM1037" s="28"/>
      <c r="AN1037" s="28"/>
      <c r="AO1037" s="28"/>
      <c r="AP1037" s="28"/>
      <c r="AQ1037" s="28"/>
      <c r="AR1037" s="28"/>
      <c r="AS1037" s="28"/>
      <c r="AT1037" s="28"/>
      <c r="AU1037" s="28"/>
      <c r="AV1037" s="28"/>
      <c r="AW1037" s="28"/>
      <c r="AX1037" s="28"/>
      <c r="AY1037" s="28"/>
      <c r="AZ1037" s="28"/>
      <c r="BA1037" s="28"/>
      <c r="BB1037" s="28"/>
      <c r="BC1037" s="28"/>
      <c r="BD1037" s="28"/>
      <c r="BE1037" s="28"/>
      <c r="BF1037" s="28"/>
      <c r="BG1037" s="28"/>
      <c r="BH1037" s="28"/>
      <c r="BI1037" s="28"/>
      <c r="BJ1037" s="28"/>
      <c r="BK1037" s="28"/>
      <c r="BL1037" s="28"/>
    </row>
    <row r="1038" spans="1:64" ht="12.75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  <c r="R1038" s="28"/>
      <c r="S1038" s="28"/>
      <c r="T1038" s="28"/>
      <c r="U1038" s="28"/>
      <c r="V1038" s="28"/>
      <c r="W1038" s="28"/>
      <c r="X1038" s="28"/>
      <c r="Y1038" s="28"/>
      <c r="Z1038" s="28"/>
      <c r="AA1038" s="28"/>
      <c r="AB1038" s="28"/>
      <c r="AC1038" s="28"/>
      <c r="AD1038" s="28"/>
      <c r="AE1038" s="28"/>
      <c r="AF1038" s="28"/>
      <c r="AG1038" s="28"/>
      <c r="AH1038" s="28"/>
      <c r="AI1038" s="28"/>
      <c r="AJ1038" s="28"/>
      <c r="AK1038" s="28"/>
      <c r="AL1038" s="28"/>
      <c r="AM1038" s="28"/>
      <c r="AN1038" s="28"/>
      <c r="AO1038" s="28"/>
      <c r="AP1038" s="28"/>
      <c r="AQ1038" s="28"/>
      <c r="AR1038" s="28"/>
      <c r="AS1038" s="28"/>
      <c r="AT1038" s="28"/>
      <c r="AU1038" s="28"/>
      <c r="AV1038" s="28"/>
      <c r="AW1038" s="28"/>
      <c r="AX1038" s="28"/>
      <c r="AY1038" s="28"/>
      <c r="AZ1038" s="28"/>
      <c r="BA1038" s="28"/>
      <c r="BB1038" s="28"/>
      <c r="BC1038" s="28"/>
      <c r="BD1038" s="28"/>
      <c r="BE1038" s="28"/>
      <c r="BF1038" s="28"/>
      <c r="BG1038" s="28"/>
      <c r="BH1038" s="28"/>
      <c r="BI1038" s="28"/>
      <c r="BJ1038" s="28"/>
      <c r="BK1038" s="28"/>
      <c r="BL1038" s="28"/>
    </row>
    <row r="1039" spans="1:64" ht="12.75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  <c r="R1039" s="28"/>
      <c r="S1039" s="28"/>
      <c r="T1039" s="28"/>
      <c r="U1039" s="28"/>
      <c r="V1039" s="28"/>
      <c r="W1039" s="28"/>
      <c r="X1039" s="28"/>
      <c r="Y1039" s="28"/>
      <c r="Z1039" s="28"/>
      <c r="AA1039" s="28"/>
      <c r="AB1039" s="28"/>
      <c r="AC1039" s="28"/>
      <c r="AD1039" s="28"/>
      <c r="AE1039" s="28"/>
      <c r="AF1039" s="28"/>
      <c r="AG1039" s="28"/>
      <c r="AH1039" s="28"/>
      <c r="AI1039" s="28"/>
      <c r="AJ1039" s="28"/>
      <c r="AK1039" s="28"/>
      <c r="AL1039" s="28"/>
      <c r="AM1039" s="28"/>
      <c r="AN1039" s="28"/>
      <c r="AO1039" s="28"/>
      <c r="AP1039" s="28"/>
      <c r="AQ1039" s="28"/>
      <c r="AR1039" s="28"/>
      <c r="AS1039" s="28"/>
      <c r="AT1039" s="28"/>
      <c r="AU1039" s="28"/>
      <c r="AV1039" s="28"/>
      <c r="AW1039" s="28"/>
      <c r="AX1039" s="28"/>
      <c r="AY1039" s="28"/>
      <c r="AZ1039" s="28"/>
      <c r="BA1039" s="28"/>
      <c r="BB1039" s="28"/>
      <c r="BC1039" s="28"/>
      <c r="BD1039" s="28"/>
      <c r="BE1039" s="28"/>
      <c r="BF1039" s="28"/>
      <c r="BG1039" s="28"/>
      <c r="BH1039" s="28"/>
      <c r="BI1039" s="28"/>
      <c r="BJ1039" s="28"/>
      <c r="BK1039" s="28"/>
      <c r="BL1039" s="28"/>
    </row>
    <row r="1040" spans="1:64" ht="12.75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  <c r="R1040" s="28"/>
      <c r="S1040" s="28"/>
      <c r="T1040" s="28"/>
      <c r="U1040" s="28"/>
      <c r="V1040" s="28"/>
      <c r="W1040" s="28"/>
      <c r="X1040" s="28"/>
      <c r="Y1040" s="28"/>
      <c r="Z1040" s="28"/>
      <c r="AA1040" s="28"/>
      <c r="AB1040" s="28"/>
      <c r="AC1040" s="28"/>
      <c r="AD1040" s="28"/>
      <c r="AE1040" s="28"/>
      <c r="AF1040" s="28"/>
      <c r="AG1040" s="28"/>
      <c r="AH1040" s="28"/>
      <c r="AI1040" s="28"/>
      <c r="AJ1040" s="28"/>
      <c r="AK1040" s="28"/>
      <c r="AL1040" s="28"/>
      <c r="AM1040" s="28"/>
      <c r="AN1040" s="28"/>
      <c r="AO1040" s="28"/>
      <c r="AP1040" s="28"/>
      <c r="AQ1040" s="28"/>
      <c r="AR1040" s="28"/>
      <c r="AS1040" s="28"/>
      <c r="AT1040" s="28"/>
      <c r="AU1040" s="28"/>
      <c r="AV1040" s="28"/>
      <c r="AW1040" s="28"/>
      <c r="AX1040" s="28"/>
      <c r="AY1040" s="28"/>
      <c r="AZ1040" s="28"/>
      <c r="BA1040" s="28"/>
      <c r="BB1040" s="28"/>
      <c r="BC1040" s="28"/>
      <c r="BD1040" s="28"/>
      <c r="BE1040" s="28"/>
      <c r="BF1040" s="28"/>
      <c r="BG1040" s="28"/>
      <c r="BH1040" s="28"/>
      <c r="BI1040" s="28"/>
      <c r="BJ1040" s="28"/>
      <c r="BK1040" s="28"/>
      <c r="BL1040" s="28"/>
    </row>
    <row r="1041" spans="1:64" ht="12.75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  <c r="R1041" s="28"/>
      <c r="S1041" s="28"/>
      <c r="T1041" s="28"/>
      <c r="U1041" s="28"/>
      <c r="V1041" s="28"/>
      <c r="W1041" s="28"/>
      <c r="X1041" s="28"/>
      <c r="Y1041" s="28"/>
      <c r="Z1041" s="28"/>
      <c r="AA1041" s="28"/>
      <c r="AB1041" s="28"/>
      <c r="AC1041" s="28"/>
      <c r="AD1041" s="28"/>
      <c r="AE1041" s="28"/>
      <c r="AF1041" s="28"/>
      <c r="AG1041" s="28"/>
      <c r="AH1041" s="28"/>
      <c r="AI1041" s="28"/>
      <c r="AJ1041" s="28"/>
      <c r="AK1041" s="28"/>
      <c r="AL1041" s="28"/>
      <c r="AM1041" s="28"/>
      <c r="AN1041" s="28"/>
      <c r="AO1041" s="28"/>
      <c r="AP1041" s="28"/>
      <c r="AQ1041" s="28"/>
      <c r="AR1041" s="28"/>
      <c r="AS1041" s="28"/>
      <c r="AT1041" s="28"/>
      <c r="AU1041" s="28"/>
      <c r="AV1041" s="28"/>
      <c r="AW1041" s="28"/>
      <c r="AX1041" s="28"/>
      <c r="AY1041" s="28"/>
      <c r="AZ1041" s="28"/>
      <c r="BA1041" s="28"/>
      <c r="BB1041" s="28"/>
      <c r="BC1041" s="28"/>
      <c r="BD1041" s="28"/>
      <c r="BE1041" s="28"/>
      <c r="BF1041" s="28"/>
      <c r="BG1041" s="28"/>
      <c r="BH1041" s="28"/>
      <c r="BI1041" s="28"/>
      <c r="BJ1041" s="28"/>
      <c r="BK1041" s="28"/>
      <c r="BL1041" s="28"/>
    </row>
    <row r="1042" spans="1:64" ht="12.75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  <c r="R1042" s="28"/>
      <c r="S1042" s="28"/>
      <c r="T1042" s="28"/>
      <c r="U1042" s="28"/>
      <c r="V1042" s="28"/>
      <c r="W1042" s="28"/>
      <c r="X1042" s="28"/>
      <c r="Y1042" s="28"/>
      <c r="Z1042" s="28"/>
      <c r="AA1042" s="28"/>
      <c r="AB1042" s="28"/>
      <c r="AC1042" s="28"/>
      <c r="AD1042" s="28"/>
      <c r="AE1042" s="28"/>
      <c r="AF1042" s="28"/>
      <c r="AG1042" s="28"/>
      <c r="AH1042" s="28"/>
      <c r="AI1042" s="28"/>
      <c r="AJ1042" s="28"/>
      <c r="AK1042" s="28"/>
      <c r="AL1042" s="28"/>
      <c r="AM1042" s="28"/>
      <c r="AN1042" s="28"/>
      <c r="AO1042" s="28"/>
      <c r="AP1042" s="28"/>
      <c r="AQ1042" s="28"/>
      <c r="AR1042" s="28"/>
      <c r="AS1042" s="28"/>
      <c r="AT1042" s="28"/>
      <c r="AU1042" s="28"/>
      <c r="AV1042" s="28"/>
      <c r="AW1042" s="28"/>
      <c r="AX1042" s="28"/>
      <c r="AY1042" s="28"/>
      <c r="AZ1042" s="28"/>
      <c r="BA1042" s="28"/>
      <c r="BB1042" s="28"/>
      <c r="BC1042" s="28"/>
      <c r="BD1042" s="28"/>
      <c r="BE1042" s="28"/>
      <c r="BF1042" s="28"/>
      <c r="BG1042" s="28"/>
      <c r="BH1042" s="28"/>
      <c r="BI1042" s="28"/>
      <c r="BJ1042" s="28"/>
      <c r="BK1042" s="28"/>
      <c r="BL1042" s="28"/>
    </row>
    <row r="1043" spans="1:64" ht="12.75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  <c r="R1043" s="28"/>
      <c r="S1043" s="28"/>
      <c r="T1043" s="28"/>
      <c r="U1043" s="28"/>
      <c r="V1043" s="28"/>
      <c r="W1043" s="28"/>
      <c r="X1043" s="28"/>
      <c r="Y1043" s="28"/>
      <c r="Z1043" s="28"/>
      <c r="AA1043" s="28"/>
      <c r="AB1043" s="28"/>
      <c r="AC1043" s="28"/>
      <c r="AD1043" s="28"/>
      <c r="AE1043" s="28"/>
      <c r="AF1043" s="28"/>
      <c r="AG1043" s="28"/>
      <c r="AH1043" s="28"/>
      <c r="AI1043" s="28"/>
      <c r="AJ1043" s="28"/>
      <c r="AK1043" s="28"/>
      <c r="AL1043" s="28"/>
      <c r="AM1043" s="28"/>
      <c r="AN1043" s="28"/>
      <c r="AO1043" s="28"/>
      <c r="AP1043" s="28"/>
      <c r="AQ1043" s="28"/>
      <c r="AR1043" s="28"/>
      <c r="AS1043" s="28"/>
      <c r="AT1043" s="28"/>
      <c r="AU1043" s="28"/>
      <c r="AV1043" s="28"/>
      <c r="AW1043" s="28"/>
      <c r="AX1043" s="28"/>
      <c r="AY1043" s="28"/>
      <c r="AZ1043" s="28"/>
      <c r="BA1043" s="28"/>
      <c r="BB1043" s="28"/>
      <c r="BC1043" s="28"/>
      <c r="BD1043" s="28"/>
      <c r="BE1043" s="28"/>
      <c r="BF1043" s="28"/>
      <c r="BG1043" s="28"/>
      <c r="BH1043" s="28"/>
      <c r="BI1043" s="28"/>
      <c r="BJ1043" s="28"/>
      <c r="BK1043" s="28"/>
      <c r="BL1043" s="28"/>
    </row>
    <row r="1044" spans="1:64" ht="12.75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28"/>
      <c r="T1044" s="28"/>
      <c r="U1044" s="28"/>
      <c r="V1044" s="28"/>
      <c r="W1044" s="28"/>
      <c r="X1044" s="28"/>
      <c r="Y1044" s="28"/>
      <c r="Z1044" s="28"/>
      <c r="AA1044" s="28"/>
      <c r="AB1044" s="28"/>
      <c r="AC1044" s="28"/>
      <c r="AD1044" s="28"/>
      <c r="AE1044" s="28"/>
      <c r="AF1044" s="28"/>
      <c r="AG1044" s="28"/>
      <c r="AH1044" s="28"/>
      <c r="AI1044" s="28"/>
      <c r="AJ1044" s="28"/>
      <c r="AK1044" s="28"/>
      <c r="AL1044" s="28"/>
      <c r="AM1044" s="28"/>
      <c r="AN1044" s="28"/>
      <c r="AO1044" s="28"/>
      <c r="AP1044" s="28"/>
      <c r="AQ1044" s="28"/>
      <c r="AR1044" s="28"/>
      <c r="AS1044" s="28"/>
      <c r="AT1044" s="28"/>
      <c r="AU1044" s="28"/>
      <c r="AV1044" s="28"/>
      <c r="AW1044" s="28"/>
      <c r="AX1044" s="28"/>
      <c r="AY1044" s="28"/>
      <c r="AZ1044" s="28"/>
      <c r="BA1044" s="28"/>
      <c r="BB1044" s="28"/>
      <c r="BC1044" s="28"/>
      <c r="BD1044" s="28"/>
      <c r="BE1044" s="28"/>
      <c r="BF1044" s="28"/>
      <c r="BG1044" s="28"/>
      <c r="BH1044" s="28"/>
      <c r="BI1044" s="28"/>
      <c r="BJ1044" s="28"/>
      <c r="BK1044" s="28"/>
      <c r="BL1044" s="28"/>
    </row>
    <row r="1045" spans="1:64" ht="12.75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  <c r="R1045" s="28"/>
      <c r="S1045" s="28"/>
      <c r="T1045" s="28"/>
      <c r="U1045" s="28"/>
      <c r="V1045" s="28"/>
      <c r="W1045" s="28"/>
      <c r="X1045" s="28"/>
      <c r="Y1045" s="28"/>
      <c r="Z1045" s="28"/>
      <c r="AA1045" s="28"/>
      <c r="AB1045" s="28"/>
      <c r="AC1045" s="28"/>
      <c r="AD1045" s="28"/>
      <c r="AE1045" s="28"/>
      <c r="AF1045" s="28"/>
      <c r="AG1045" s="28"/>
      <c r="AH1045" s="28"/>
      <c r="AI1045" s="28"/>
      <c r="AJ1045" s="28"/>
      <c r="AK1045" s="28"/>
      <c r="AL1045" s="28"/>
      <c r="AM1045" s="28"/>
      <c r="AN1045" s="28"/>
      <c r="AO1045" s="28"/>
      <c r="AP1045" s="28"/>
      <c r="AQ1045" s="28"/>
      <c r="AR1045" s="28"/>
      <c r="AS1045" s="28"/>
      <c r="AT1045" s="28"/>
      <c r="AU1045" s="28"/>
      <c r="AV1045" s="28"/>
      <c r="AW1045" s="28"/>
      <c r="AX1045" s="28"/>
      <c r="AY1045" s="28"/>
      <c r="AZ1045" s="28"/>
      <c r="BA1045" s="28"/>
      <c r="BB1045" s="28"/>
      <c r="BC1045" s="28"/>
      <c r="BD1045" s="28"/>
      <c r="BE1045" s="28"/>
      <c r="BF1045" s="28"/>
      <c r="BG1045" s="28"/>
      <c r="BH1045" s="28"/>
      <c r="BI1045" s="28"/>
      <c r="BJ1045" s="28"/>
      <c r="BK1045" s="28"/>
      <c r="BL1045" s="28"/>
    </row>
    <row r="1046" spans="1:64" ht="12.75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  <c r="R1046" s="28"/>
      <c r="S1046" s="28"/>
      <c r="T1046" s="28"/>
      <c r="U1046" s="28"/>
      <c r="V1046" s="28"/>
      <c r="W1046" s="28"/>
      <c r="X1046" s="28"/>
      <c r="Y1046" s="28"/>
      <c r="Z1046" s="28"/>
      <c r="AA1046" s="28"/>
      <c r="AB1046" s="28"/>
      <c r="AC1046" s="28"/>
      <c r="AD1046" s="28"/>
      <c r="AE1046" s="28"/>
      <c r="AF1046" s="28"/>
      <c r="AG1046" s="28"/>
      <c r="AH1046" s="28"/>
      <c r="AI1046" s="28"/>
      <c r="AJ1046" s="28"/>
      <c r="AK1046" s="28"/>
      <c r="AL1046" s="28"/>
      <c r="AM1046" s="28"/>
      <c r="AN1046" s="28"/>
      <c r="AO1046" s="28"/>
      <c r="AP1046" s="28"/>
      <c r="AQ1046" s="28"/>
      <c r="AR1046" s="28"/>
      <c r="AS1046" s="28"/>
      <c r="AT1046" s="28"/>
      <c r="AU1046" s="28"/>
      <c r="AV1046" s="28"/>
      <c r="AW1046" s="28"/>
      <c r="AX1046" s="28"/>
      <c r="AY1046" s="28"/>
      <c r="AZ1046" s="28"/>
      <c r="BA1046" s="28"/>
      <c r="BB1046" s="28"/>
      <c r="BC1046" s="28"/>
      <c r="BD1046" s="28"/>
      <c r="BE1046" s="28"/>
      <c r="BF1046" s="28"/>
      <c r="BG1046" s="28"/>
      <c r="BH1046" s="28"/>
      <c r="BI1046" s="28"/>
      <c r="BJ1046" s="28"/>
      <c r="BK1046" s="28"/>
      <c r="BL1046" s="28"/>
    </row>
    <row r="1047" spans="1:64" ht="12.75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  <c r="R1047" s="28"/>
      <c r="S1047" s="28"/>
      <c r="T1047" s="28"/>
      <c r="U1047" s="28"/>
      <c r="V1047" s="28"/>
      <c r="W1047" s="28"/>
      <c r="X1047" s="28"/>
      <c r="Y1047" s="28"/>
      <c r="Z1047" s="28"/>
      <c r="AA1047" s="28"/>
      <c r="AB1047" s="28"/>
      <c r="AC1047" s="28"/>
      <c r="AD1047" s="28"/>
      <c r="AE1047" s="28"/>
      <c r="AF1047" s="28"/>
      <c r="AG1047" s="28"/>
      <c r="AH1047" s="28"/>
      <c r="AI1047" s="28"/>
      <c r="AJ1047" s="28"/>
      <c r="AK1047" s="28"/>
      <c r="AL1047" s="28"/>
      <c r="AM1047" s="28"/>
      <c r="AN1047" s="28"/>
      <c r="AO1047" s="28"/>
      <c r="AP1047" s="28"/>
      <c r="AQ1047" s="28"/>
      <c r="AR1047" s="28"/>
      <c r="AS1047" s="28"/>
      <c r="AT1047" s="28"/>
      <c r="AU1047" s="28"/>
      <c r="AV1047" s="28"/>
      <c r="AW1047" s="28"/>
      <c r="AX1047" s="28"/>
      <c r="AY1047" s="28"/>
      <c r="AZ1047" s="28"/>
      <c r="BA1047" s="28"/>
      <c r="BB1047" s="28"/>
      <c r="BC1047" s="28"/>
      <c r="BD1047" s="28"/>
      <c r="BE1047" s="28"/>
      <c r="BF1047" s="28"/>
      <c r="BG1047" s="28"/>
      <c r="BH1047" s="28"/>
      <c r="BI1047" s="28"/>
      <c r="BJ1047" s="28"/>
      <c r="BK1047" s="28"/>
      <c r="BL1047" s="28"/>
    </row>
    <row r="1048" spans="1:64" ht="12.75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  <c r="R1048" s="28"/>
      <c r="S1048" s="28"/>
      <c r="T1048" s="28"/>
      <c r="U1048" s="28"/>
      <c r="V1048" s="28"/>
      <c r="W1048" s="28"/>
      <c r="X1048" s="28"/>
      <c r="Y1048" s="28"/>
      <c r="Z1048" s="28"/>
      <c r="AA1048" s="28"/>
      <c r="AB1048" s="28"/>
      <c r="AC1048" s="28"/>
      <c r="AD1048" s="28"/>
      <c r="AE1048" s="28"/>
      <c r="AF1048" s="28"/>
      <c r="AG1048" s="28"/>
      <c r="AH1048" s="28"/>
      <c r="AI1048" s="28"/>
      <c r="AJ1048" s="28"/>
      <c r="AK1048" s="28"/>
      <c r="AL1048" s="28"/>
      <c r="AM1048" s="28"/>
      <c r="AN1048" s="28"/>
      <c r="AO1048" s="28"/>
      <c r="AP1048" s="28"/>
      <c r="AQ1048" s="28"/>
      <c r="AR1048" s="28"/>
      <c r="AS1048" s="28"/>
      <c r="AT1048" s="28"/>
      <c r="AU1048" s="28"/>
      <c r="AV1048" s="28"/>
      <c r="AW1048" s="28"/>
      <c r="AX1048" s="28"/>
      <c r="AY1048" s="28"/>
      <c r="AZ1048" s="28"/>
      <c r="BA1048" s="28"/>
      <c r="BB1048" s="28"/>
      <c r="BC1048" s="28"/>
      <c r="BD1048" s="28"/>
      <c r="BE1048" s="28"/>
      <c r="BF1048" s="28"/>
      <c r="BG1048" s="28"/>
      <c r="BH1048" s="28"/>
      <c r="BI1048" s="28"/>
      <c r="BJ1048" s="28"/>
      <c r="BK1048" s="28"/>
      <c r="BL1048" s="28"/>
    </row>
    <row r="1049" spans="1:64" ht="12.75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AA1049" s="28"/>
      <c r="AB1049" s="28"/>
      <c r="AC1049" s="28"/>
      <c r="AD1049" s="28"/>
      <c r="AE1049" s="28"/>
      <c r="AF1049" s="28"/>
      <c r="AG1049" s="28"/>
      <c r="AH1049" s="28"/>
      <c r="AI1049" s="28"/>
      <c r="AJ1049" s="28"/>
      <c r="AK1049" s="28"/>
      <c r="AL1049" s="28"/>
      <c r="AM1049" s="28"/>
      <c r="AN1049" s="28"/>
      <c r="AO1049" s="28"/>
      <c r="AP1049" s="28"/>
      <c r="AQ1049" s="28"/>
      <c r="AR1049" s="28"/>
      <c r="AS1049" s="28"/>
      <c r="AT1049" s="28"/>
      <c r="AU1049" s="28"/>
      <c r="AV1049" s="28"/>
      <c r="AW1049" s="28"/>
      <c r="AX1049" s="28"/>
      <c r="AY1049" s="28"/>
      <c r="AZ1049" s="28"/>
      <c r="BA1049" s="28"/>
      <c r="BB1049" s="28"/>
      <c r="BC1049" s="28"/>
      <c r="BD1049" s="28"/>
      <c r="BE1049" s="28"/>
      <c r="BF1049" s="28"/>
      <c r="BG1049" s="28"/>
      <c r="BH1049" s="28"/>
      <c r="BI1049" s="28"/>
      <c r="BJ1049" s="28"/>
      <c r="BK1049" s="28"/>
      <c r="BL1049" s="28"/>
    </row>
    <row r="1050" spans="1:64" ht="12.75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  <c r="R1050" s="28"/>
      <c r="S1050" s="28"/>
      <c r="T1050" s="28"/>
      <c r="U1050" s="28"/>
      <c r="V1050" s="28"/>
      <c r="W1050" s="28"/>
      <c r="X1050" s="28"/>
      <c r="Y1050" s="28"/>
      <c r="Z1050" s="28"/>
      <c r="AA1050" s="28"/>
      <c r="AB1050" s="28"/>
      <c r="AC1050" s="28"/>
      <c r="AD1050" s="28"/>
      <c r="AE1050" s="28"/>
      <c r="AF1050" s="28"/>
      <c r="AG1050" s="28"/>
      <c r="AH1050" s="28"/>
      <c r="AI1050" s="28"/>
      <c r="AJ1050" s="28"/>
      <c r="AK1050" s="28"/>
      <c r="AL1050" s="28"/>
      <c r="AM1050" s="28"/>
      <c r="AN1050" s="28"/>
      <c r="AO1050" s="28"/>
      <c r="AP1050" s="28"/>
      <c r="AQ1050" s="28"/>
      <c r="AR1050" s="28"/>
      <c r="AS1050" s="28"/>
      <c r="AT1050" s="28"/>
      <c r="AU1050" s="28"/>
      <c r="AV1050" s="28"/>
      <c r="AW1050" s="28"/>
      <c r="AX1050" s="28"/>
      <c r="AY1050" s="28"/>
      <c r="AZ1050" s="28"/>
      <c r="BA1050" s="28"/>
      <c r="BB1050" s="28"/>
      <c r="BC1050" s="28"/>
      <c r="BD1050" s="28"/>
      <c r="BE1050" s="28"/>
      <c r="BF1050" s="28"/>
      <c r="BG1050" s="28"/>
      <c r="BH1050" s="28"/>
      <c r="BI1050" s="28"/>
      <c r="BJ1050" s="28"/>
      <c r="BK1050" s="28"/>
      <c r="BL1050" s="28"/>
    </row>
    <row r="1051" spans="1:64" ht="12.75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  <c r="R1051" s="28"/>
      <c r="S1051" s="28"/>
      <c r="T1051" s="28"/>
      <c r="U1051" s="28"/>
      <c r="V1051" s="28"/>
      <c r="W1051" s="28"/>
      <c r="X1051" s="28"/>
      <c r="Y1051" s="28"/>
      <c r="Z1051" s="28"/>
      <c r="AA1051" s="28"/>
      <c r="AB1051" s="28"/>
      <c r="AC1051" s="28"/>
      <c r="AD1051" s="28"/>
      <c r="AE1051" s="28"/>
      <c r="AF1051" s="28"/>
      <c r="AG1051" s="28"/>
      <c r="AH1051" s="28"/>
      <c r="AI1051" s="28"/>
      <c r="AJ1051" s="28"/>
      <c r="AK1051" s="28"/>
      <c r="AL1051" s="28"/>
      <c r="AM1051" s="28"/>
      <c r="AN1051" s="28"/>
      <c r="AO1051" s="28"/>
      <c r="AP1051" s="28"/>
      <c r="AQ1051" s="28"/>
      <c r="AR1051" s="28"/>
      <c r="AS1051" s="28"/>
      <c r="AT1051" s="28"/>
      <c r="AU1051" s="28"/>
      <c r="AV1051" s="28"/>
      <c r="AW1051" s="28"/>
      <c r="AX1051" s="28"/>
      <c r="AY1051" s="28"/>
      <c r="AZ1051" s="28"/>
      <c r="BA1051" s="28"/>
      <c r="BB1051" s="28"/>
      <c r="BC1051" s="28"/>
      <c r="BD1051" s="28"/>
      <c r="BE1051" s="28"/>
      <c r="BF1051" s="28"/>
      <c r="BG1051" s="28"/>
      <c r="BH1051" s="28"/>
      <c r="BI1051" s="28"/>
      <c r="BJ1051" s="28"/>
      <c r="BK1051" s="28"/>
      <c r="BL1051" s="28"/>
    </row>
    <row r="1052" spans="1:64" ht="12.75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  <c r="R1052" s="28"/>
      <c r="S1052" s="28"/>
      <c r="T1052" s="28"/>
      <c r="U1052" s="28"/>
      <c r="V1052" s="28"/>
      <c r="W1052" s="28"/>
      <c r="X1052" s="28"/>
      <c r="Y1052" s="28"/>
      <c r="Z1052" s="28"/>
      <c r="AA1052" s="28"/>
      <c r="AB1052" s="28"/>
      <c r="AC1052" s="28"/>
      <c r="AD1052" s="28"/>
      <c r="AE1052" s="28"/>
      <c r="AF1052" s="28"/>
      <c r="AG1052" s="28"/>
      <c r="AH1052" s="28"/>
      <c r="AI1052" s="28"/>
      <c r="AJ1052" s="28"/>
      <c r="AK1052" s="28"/>
      <c r="AL1052" s="28"/>
      <c r="AM1052" s="28"/>
      <c r="AN1052" s="28"/>
      <c r="AO1052" s="28"/>
      <c r="AP1052" s="28"/>
      <c r="AQ1052" s="28"/>
      <c r="AR1052" s="28"/>
      <c r="AS1052" s="28"/>
      <c r="AT1052" s="28"/>
      <c r="AU1052" s="28"/>
      <c r="AV1052" s="28"/>
      <c r="AW1052" s="28"/>
      <c r="AX1052" s="28"/>
      <c r="AY1052" s="28"/>
      <c r="AZ1052" s="28"/>
      <c r="BA1052" s="28"/>
      <c r="BB1052" s="28"/>
      <c r="BC1052" s="28"/>
      <c r="BD1052" s="28"/>
      <c r="BE1052" s="28"/>
      <c r="BF1052" s="28"/>
      <c r="BG1052" s="28"/>
      <c r="BH1052" s="28"/>
      <c r="BI1052" s="28"/>
      <c r="BJ1052" s="28"/>
      <c r="BK1052" s="28"/>
      <c r="BL1052" s="28"/>
    </row>
    <row r="1053" spans="1:64" ht="12.75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  <c r="P1053" s="28"/>
      <c r="Q1053" s="28"/>
      <c r="R1053" s="28"/>
      <c r="S1053" s="28"/>
      <c r="T1053" s="28"/>
      <c r="U1053" s="28"/>
      <c r="V1053" s="28"/>
      <c r="W1053" s="28"/>
      <c r="X1053" s="28"/>
      <c r="Y1053" s="28"/>
      <c r="Z1053" s="28"/>
      <c r="AA1053" s="28"/>
      <c r="AB1053" s="28"/>
      <c r="AC1053" s="28"/>
      <c r="AD1053" s="28"/>
      <c r="AE1053" s="28"/>
      <c r="AF1053" s="28"/>
      <c r="AG1053" s="28"/>
      <c r="AH1053" s="28"/>
      <c r="AI1053" s="28"/>
      <c r="AJ1053" s="28"/>
      <c r="AK1053" s="28"/>
      <c r="AL1053" s="28"/>
      <c r="AM1053" s="28"/>
      <c r="AN1053" s="28"/>
      <c r="AO1053" s="28"/>
      <c r="AP1053" s="28"/>
      <c r="AQ1053" s="28"/>
      <c r="AR1053" s="28"/>
      <c r="AS1053" s="28"/>
      <c r="AT1053" s="28"/>
      <c r="AU1053" s="28"/>
      <c r="AV1053" s="28"/>
      <c r="AW1053" s="28"/>
      <c r="AX1053" s="28"/>
      <c r="AY1053" s="28"/>
      <c r="AZ1053" s="28"/>
      <c r="BA1053" s="28"/>
      <c r="BB1053" s="28"/>
      <c r="BC1053" s="28"/>
      <c r="BD1053" s="28"/>
      <c r="BE1053" s="28"/>
      <c r="BF1053" s="28"/>
      <c r="BG1053" s="28"/>
      <c r="BH1053" s="28"/>
      <c r="BI1053" s="28"/>
      <c r="BJ1053" s="28"/>
      <c r="BK1053" s="28"/>
      <c r="BL1053" s="28"/>
    </row>
    <row r="1054" spans="1:64" ht="12.75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  <c r="R1054" s="28"/>
      <c r="S1054" s="28"/>
      <c r="T1054" s="28"/>
      <c r="U1054" s="28"/>
      <c r="V1054" s="28"/>
      <c r="W1054" s="28"/>
      <c r="X1054" s="28"/>
      <c r="Y1054" s="28"/>
      <c r="Z1054" s="28"/>
      <c r="AA1054" s="28"/>
      <c r="AB1054" s="28"/>
      <c r="AC1054" s="28"/>
      <c r="AD1054" s="28"/>
      <c r="AE1054" s="28"/>
      <c r="AF1054" s="28"/>
      <c r="AG1054" s="28"/>
      <c r="AH1054" s="28"/>
      <c r="AI1054" s="28"/>
      <c r="AJ1054" s="28"/>
      <c r="AK1054" s="28"/>
      <c r="AL1054" s="28"/>
      <c r="AM1054" s="28"/>
      <c r="AN1054" s="28"/>
      <c r="AO1054" s="28"/>
      <c r="AP1054" s="28"/>
      <c r="AQ1054" s="28"/>
      <c r="AR1054" s="28"/>
      <c r="AS1054" s="28"/>
      <c r="AT1054" s="28"/>
      <c r="AU1054" s="28"/>
      <c r="AV1054" s="28"/>
      <c r="AW1054" s="28"/>
      <c r="AX1054" s="28"/>
      <c r="AY1054" s="28"/>
      <c r="AZ1054" s="28"/>
      <c r="BA1054" s="28"/>
      <c r="BB1054" s="28"/>
      <c r="BC1054" s="28"/>
      <c r="BD1054" s="28"/>
      <c r="BE1054" s="28"/>
      <c r="BF1054" s="28"/>
      <c r="BG1054" s="28"/>
      <c r="BH1054" s="28"/>
      <c r="BI1054" s="28"/>
      <c r="BJ1054" s="28"/>
      <c r="BK1054" s="28"/>
      <c r="BL1054" s="28"/>
    </row>
    <row r="1055" spans="1:64" ht="12.75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  <c r="R1055" s="28"/>
      <c r="S1055" s="28"/>
      <c r="T1055" s="28"/>
      <c r="U1055" s="28"/>
      <c r="V1055" s="28"/>
      <c r="W1055" s="28"/>
      <c r="X1055" s="28"/>
      <c r="Y1055" s="28"/>
      <c r="Z1055" s="28"/>
      <c r="AA1055" s="28"/>
      <c r="AB1055" s="28"/>
      <c r="AC1055" s="28"/>
      <c r="AD1055" s="28"/>
      <c r="AE1055" s="28"/>
      <c r="AF1055" s="28"/>
      <c r="AG1055" s="28"/>
      <c r="AH1055" s="28"/>
      <c r="AI1055" s="28"/>
      <c r="AJ1055" s="28"/>
      <c r="AK1055" s="28"/>
      <c r="AL1055" s="28"/>
      <c r="AM1055" s="28"/>
      <c r="AN1055" s="28"/>
      <c r="AO1055" s="28"/>
      <c r="AP1055" s="28"/>
      <c r="AQ1055" s="28"/>
      <c r="AR1055" s="28"/>
      <c r="AS1055" s="28"/>
      <c r="AT1055" s="28"/>
      <c r="AU1055" s="28"/>
      <c r="AV1055" s="28"/>
      <c r="AW1055" s="28"/>
      <c r="AX1055" s="28"/>
      <c r="AY1055" s="28"/>
      <c r="AZ1055" s="28"/>
      <c r="BA1055" s="28"/>
      <c r="BB1055" s="28"/>
      <c r="BC1055" s="28"/>
      <c r="BD1055" s="28"/>
      <c r="BE1055" s="28"/>
      <c r="BF1055" s="28"/>
      <c r="BG1055" s="28"/>
      <c r="BH1055" s="28"/>
      <c r="BI1055" s="28"/>
      <c r="BJ1055" s="28"/>
      <c r="BK1055" s="28"/>
      <c r="BL1055" s="28"/>
    </row>
    <row r="1056" spans="1:64" ht="12.75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  <c r="R1056" s="28"/>
      <c r="S1056" s="28"/>
      <c r="T1056" s="28"/>
      <c r="U1056" s="28"/>
      <c r="V1056" s="28"/>
      <c r="W1056" s="28"/>
      <c r="X1056" s="28"/>
      <c r="Y1056" s="28"/>
      <c r="Z1056" s="28"/>
      <c r="AA1056" s="28"/>
      <c r="AB1056" s="28"/>
      <c r="AC1056" s="28"/>
      <c r="AD1056" s="28"/>
      <c r="AE1056" s="28"/>
      <c r="AF1056" s="28"/>
      <c r="AG1056" s="28"/>
      <c r="AH1056" s="28"/>
      <c r="AI1056" s="28"/>
      <c r="AJ1056" s="28"/>
      <c r="AK1056" s="28"/>
      <c r="AL1056" s="28"/>
      <c r="AM1056" s="28"/>
      <c r="AN1056" s="28"/>
      <c r="AO1056" s="28"/>
      <c r="AP1056" s="28"/>
      <c r="AQ1056" s="28"/>
      <c r="AR1056" s="28"/>
      <c r="AS1056" s="28"/>
      <c r="AT1056" s="28"/>
      <c r="AU1056" s="28"/>
      <c r="AV1056" s="28"/>
      <c r="AW1056" s="28"/>
      <c r="AX1056" s="28"/>
      <c r="AY1056" s="28"/>
      <c r="AZ1056" s="28"/>
      <c r="BA1056" s="28"/>
      <c r="BB1056" s="28"/>
      <c r="BC1056" s="28"/>
      <c r="BD1056" s="28"/>
      <c r="BE1056" s="28"/>
      <c r="BF1056" s="28"/>
      <c r="BG1056" s="28"/>
      <c r="BH1056" s="28"/>
      <c r="BI1056" s="28"/>
      <c r="BJ1056" s="28"/>
      <c r="BK1056" s="28"/>
      <c r="BL1056" s="28"/>
    </row>
    <row r="1057" spans="1:64" ht="12.75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  <c r="R1057" s="28"/>
      <c r="S1057" s="28"/>
      <c r="T1057" s="28"/>
      <c r="U1057" s="28"/>
      <c r="V1057" s="28"/>
      <c r="W1057" s="28"/>
      <c r="X1057" s="28"/>
      <c r="Y1057" s="28"/>
      <c r="Z1057" s="28"/>
      <c r="AA1057" s="28"/>
      <c r="AB1057" s="28"/>
      <c r="AC1057" s="28"/>
      <c r="AD1057" s="28"/>
      <c r="AE1057" s="28"/>
      <c r="AF1057" s="28"/>
      <c r="AG1057" s="28"/>
      <c r="AH1057" s="28"/>
      <c r="AI1057" s="28"/>
      <c r="AJ1057" s="28"/>
      <c r="AK1057" s="28"/>
      <c r="AL1057" s="28"/>
      <c r="AM1057" s="28"/>
      <c r="AN1057" s="28"/>
      <c r="AO1057" s="28"/>
      <c r="AP1057" s="28"/>
      <c r="AQ1057" s="28"/>
      <c r="AR1057" s="28"/>
      <c r="AS1057" s="28"/>
      <c r="AT1057" s="28"/>
      <c r="AU1057" s="28"/>
      <c r="AV1057" s="28"/>
      <c r="AW1057" s="28"/>
      <c r="AX1057" s="28"/>
      <c r="AY1057" s="28"/>
      <c r="AZ1057" s="28"/>
      <c r="BA1057" s="28"/>
      <c r="BB1057" s="28"/>
      <c r="BC1057" s="28"/>
      <c r="BD1057" s="28"/>
      <c r="BE1057" s="28"/>
      <c r="BF1057" s="28"/>
      <c r="BG1057" s="28"/>
      <c r="BH1057" s="28"/>
      <c r="BI1057" s="28"/>
      <c r="BJ1057" s="28"/>
      <c r="BK1057" s="28"/>
      <c r="BL1057" s="28"/>
    </row>
    <row r="1058" spans="1:64" ht="12.75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  <c r="R1058" s="28"/>
      <c r="S1058" s="28"/>
      <c r="T1058" s="28"/>
      <c r="U1058" s="28"/>
      <c r="V1058" s="28"/>
      <c r="W1058" s="28"/>
      <c r="X1058" s="28"/>
      <c r="Y1058" s="28"/>
      <c r="Z1058" s="28"/>
      <c r="AA1058" s="28"/>
      <c r="AB1058" s="28"/>
      <c r="AC1058" s="28"/>
      <c r="AD1058" s="28"/>
      <c r="AE1058" s="28"/>
      <c r="AF1058" s="28"/>
      <c r="AG1058" s="28"/>
      <c r="AH1058" s="28"/>
      <c r="AI1058" s="28"/>
      <c r="AJ1058" s="28"/>
      <c r="AK1058" s="28"/>
      <c r="AL1058" s="28"/>
      <c r="AM1058" s="28"/>
      <c r="AN1058" s="28"/>
      <c r="AO1058" s="28"/>
      <c r="AP1058" s="28"/>
      <c r="AQ1058" s="28"/>
      <c r="AR1058" s="28"/>
      <c r="AS1058" s="28"/>
      <c r="AT1058" s="28"/>
      <c r="AU1058" s="28"/>
      <c r="AV1058" s="28"/>
      <c r="AW1058" s="28"/>
      <c r="AX1058" s="28"/>
      <c r="AY1058" s="28"/>
      <c r="AZ1058" s="28"/>
      <c r="BA1058" s="28"/>
      <c r="BB1058" s="28"/>
      <c r="BC1058" s="28"/>
      <c r="BD1058" s="28"/>
      <c r="BE1058" s="28"/>
      <c r="BF1058" s="28"/>
      <c r="BG1058" s="28"/>
      <c r="BH1058" s="28"/>
      <c r="BI1058" s="28"/>
      <c r="BJ1058" s="28"/>
      <c r="BK1058" s="28"/>
      <c r="BL1058" s="28"/>
    </row>
    <row r="1059" spans="1:64" ht="12.75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  <c r="R1059" s="28"/>
      <c r="S1059" s="28"/>
      <c r="T1059" s="28"/>
      <c r="U1059" s="28"/>
      <c r="V1059" s="28"/>
      <c r="W1059" s="28"/>
      <c r="X1059" s="28"/>
      <c r="Y1059" s="28"/>
      <c r="Z1059" s="28"/>
      <c r="AA1059" s="28"/>
      <c r="AB1059" s="28"/>
      <c r="AC1059" s="28"/>
      <c r="AD1059" s="28"/>
      <c r="AE1059" s="28"/>
      <c r="AF1059" s="28"/>
      <c r="AG1059" s="28"/>
      <c r="AH1059" s="28"/>
      <c r="AI1059" s="28"/>
      <c r="AJ1059" s="28"/>
      <c r="AK1059" s="28"/>
      <c r="AL1059" s="28"/>
      <c r="AM1059" s="28"/>
      <c r="AN1059" s="28"/>
      <c r="AO1059" s="28"/>
      <c r="AP1059" s="28"/>
      <c r="AQ1059" s="28"/>
      <c r="AR1059" s="28"/>
      <c r="AS1059" s="28"/>
      <c r="AT1059" s="28"/>
      <c r="AU1059" s="28"/>
      <c r="AV1059" s="28"/>
      <c r="AW1059" s="28"/>
      <c r="AX1059" s="28"/>
      <c r="AY1059" s="28"/>
      <c r="AZ1059" s="28"/>
      <c r="BA1059" s="28"/>
      <c r="BB1059" s="28"/>
      <c r="BC1059" s="28"/>
      <c r="BD1059" s="28"/>
      <c r="BE1059" s="28"/>
      <c r="BF1059" s="28"/>
      <c r="BG1059" s="28"/>
      <c r="BH1059" s="28"/>
      <c r="BI1059" s="28"/>
      <c r="BJ1059" s="28"/>
      <c r="BK1059" s="28"/>
      <c r="BL1059" s="28"/>
    </row>
    <row r="1060" spans="1:64" ht="12.75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  <c r="R1060" s="28"/>
      <c r="S1060" s="28"/>
      <c r="T1060" s="28"/>
      <c r="U1060" s="28"/>
      <c r="V1060" s="28"/>
      <c r="W1060" s="28"/>
      <c r="X1060" s="28"/>
      <c r="Y1060" s="28"/>
      <c r="Z1060" s="28"/>
      <c r="AA1060" s="28"/>
      <c r="AB1060" s="28"/>
      <c r="AC1060" s="28"/>
      <c r="AD1060" s="28"/>
      <c r="AE1060" s="28"/>
      <c r="AF1060" s="28"/>
      <c r="AG1060" s="28"/>
      <c r="AH1060" s="28"/>
      <c r="AI1060" s="28"/>
      <c r="AJ1060" s="28"/>
      <c r="AK1060" s="28"/>
      <c r="AL1060" s="28"/>
      <c r="AM1060" s="28"/>
      <c r="AN1060" s="28"/>
      <c r="AO1060" s="28"/>
      <c r="AP1060" s="28"/>
      <c r="AQ1060" s="28"/>
      <c r="AR1060" s="28"/>
      <c r="AS1060" s="28"/>
      <c r="AT1060" s="28"/>
      <c r="AU1060" s="28"/>
      <c r="AV1060" s="28"/>
      <c r="AW1060" s="28"/>
      <c r="AX1060" s="28"/>
      <c r="AY1060" s="28"/>
      <c r="AZ1060" s="28"/>
      <c r="BA1060" s="28"/>
      <c r="BB1060" s="28"/>
      <c r="BC1060" s="28"/>
      <c r="BD1060" s="28"/>
      <c r="BE1060" s="28"/>
      <c r="BF1060" s="28"/>
      <c r="BG1060" s="28"/>
      <c r="BH1060" s="28"/>
      <c r="BI1060" s="28"/>
      <c r="BJ1060" s="28"/>
      <c r="BK1060" s="28"/>
      <c r="BL1060" s="28"/>
    </row>
    <row r="1061" spans="1:64" ht="12.75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  <c r="P1061" s="28"/>
      <c r="Q1061" s="28"/>
      <c r="R1061" s="28"/>
      <c r="S1061" s="28"/>
      <c r="T1061" s="28"/>
      <c r="U1061" s="28"/>
      <c r="V1061" s="28"/>
      <c r="W1061" s="28"/>
      <c r="X1061" s="28"/>
      <c r="Y1061" s="28"/>
      <c r="Z1061" s="28"/>
      <c r="AA1061" s="28"/>
      <c r="AB1061" s="28"/>
      <c r="AC1061" s="28"/>
      <c r="AD1061" s="28"/>
      <c r="AE1061" s="28"/>
      <c r="AF1061" s="28"/>
      <c r="AG1061" s="28"/>
      <c r="AH1061" s="28"/>
      <c r="AI1061" s="28"/>
      <c r="AJ1061" s="28"/>
      <c r="AK1061" s="28"/>
      <c r="AL1061" s="28"/>
      <c r="AM1061" s="28"/>
      <c r="AN1061" s="28"/>
      <c r="AO1061" s="28"/>
      <c r="AP1061" s="28"/>
      <c r="AQ1061" s="28"/>
      <c r="AR1061" s="28"/>
      <c r="AS1061" s="28"/>
      <c r="AT1061" s="28"/>
      <c r="AU1061" s="28"/>
      <c r="AV1061" s="28"/>
      <c r="AW1061" s="28"/>
      <c r="AX1061" s="28"/>
      <c r="AY1061" s="28"/>
      <c r="AZ1061" s="28"/>
      <c r="BA1061" s="28"/>
      <c r="BB1061" s="28"/>
      <c r="BC1061" s="28"/>
      <c r="BD1061" s="28"/>
      <c r="BE1061" s="28"/>
      <c r="BF1061" s="28"/>
      <c r="BG1061" s="28"/>
      <c r="BH1061" s="28"/>
      <c r="BI1061" s="28"/>
      <c r="BJ1061" s="28"/>
      <c r="BK1061" s="28"/>
      <c r="BL1061" s="28"/>
    </row>
    <row r="1062" spans="1:64" ht="12.75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R1062" s="28"/>
      <c r="S1062" s="28"/>
      <c r="T1062" s="28"/>
      <c r="U1062" s="28"/>
      <c r="V1062" s="28"/>
      <c r="W1062" s="28"/>
      <c r="X1062" s="28"/>
      <c r="Y1062" s="28"/>
      <c r="Z1062" s="28"/>
      <c r="AA1062" s="28"/>
      <c r="AB1062" s="28"/>
      <c r="AC1062" s="28"/>
      <c r="AD1062" s="28"/>
      <c r="AE1062" s="28"/>
      <c r="AF1062" s="28"/>
      <c r="AG1062" s="28"/>
      <c r="AH1062" s="28"/>
      <c r="AI1062" s="28"/>
      <c r="AJ1062" s="28"/>
      <c r="AK1062" s="28"/>
      <c r="AL1062" s="28"/>
      <c r="AM1062" s="28"/>
      <c r="AN1062" s="28"/>
      <c r="AO1062" s="28"/>
      <c r="AP1062" s="28"/>
      <c r="AQ1062" s="28"/>
      <c r="AR1062" s="28"/>
      <c r="AS1062" s="28"/>
      <c r="AT1062" s="28"/>
      <c r="AU1062" s="28"/>
      <c r="AV1062" s="28"/>
      <c r="AW1062" s="28"/>
      <c r="AX1062" s="28"/>
      <c r="AY1062" s="28"/>
      <c r="AZ1062" s="28"/>
      <c r="BA1062" s="28"/>
      <c r="BB1062" s="28"/>
      <c r="BC1062" s="28"/>
      <c r="BD1062" s="28"/>
      <c r="BE1062" s="28"/>
      <c r="BF1062" s="28"/>
      <c r="BG1062" s="28"/>
      <c r="BH1062" s="28"/>
      <c r="BI1062" s="28"/>
      <c r="BJ1062" s="28"/>
      <c r="BK1062" s="28"/>
      <c r="BL1062" s="28"/>
    </row>
    <row r="1063" spans="1:64" ht="12.75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  <c r="R1063" s="28"/>
      <c r="S1063" s="28"/>
      <c r="T1063" s="28"/>
      <c r="U1063" s="28"/>
      <c r="V1063" s="28"/>
      <c r="W1063" s="28"/>
      <c r="X1063" s="28"/>
      <c r="Y1063" s="28"/>
      <c r="Z1063" s="28"/>
      <c r="AA1063" s="28"/>
      <c r="AB1063" s="28"/>
      <c r="AC1063" s="28"/>
      <c r="AD1063" s="28"/>
      <c r="AE1063" s="28"/>
      <c r="AF1063" s="28"/>
      <c r="AG1063" s="28"/>
      <c r="AH1063" s="28"/>
      <c r="AI1063" s="28"/>
      <c r="AJ1063" s="28"/>
      <c r="AK1063" s="28"/>
      <c r="AL1063" s="28"/>
      <c r="AM1063" s="28"/>
      <c r="AN1063" s="28"/>
      <c r="AO1063" s="28"/>
      <c r="AP1063" s="28"/>
      <c r="AQ1063" s="28"/>
      <c r="AR1063" s="28"/>
      <c r="AS1063" s="28"/>
      <c r="AT1063" s="28"/>
      <c r="AU1063" s="28"/>
      <c r="AV1063" s="28"/>
      <c r="AW1063" s="28"/>
      <c r="AX1063" s="28"/>
      <c r="AY1063" s="28"/>
      <c r="AZ1063" s="28"/>
      <c r="BA1063" s="28"/>
      <c r="BB1063" s="28"/>
      <c r="BC1063" s="28"/>
      <c r="BD1063" s="28"/>
      <c r="BE1063" s="28"/>
      <c r="BF1063" s="28"/>
      <c r="BG1063" s="28"/>
      <c r="BH1063" s="28"/>
      <c r="BI1063" s="28"/>
      <c r="BJ1063" s="28"/>
      <c r="BK1063" s="28"/>
      <c r="BL1063" s="28"/>
    </row>
    <row r="1064" spans="1:64" ht="12.75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  <c r="R1064" s="28"/>
      <c r="S1064" s="28"/>
      <c r="T1064" s="28"/>
      <c r="U1064" s="28"/>
      <c r="V1064" s="28"/>
      <c r="W1064" s="28"/>
      <c r="X1064" s="28"/>
      <c r="Y1064" s="28"/>
      <c r="Z1064" s="28"/>
      <c r="AA1064" s="28"/>
      <c r="AB1064" s="28"/>
      <c r="AC1064" s="28"/>
      <c r="AD1064" s="28"/>
      <c r="AE1064" s="28"/>
      <c r="AF1064" s="28"/>
      <c r="AG1064" s="28"/>
      <c r="AH1064" s="28"/>
      <c r="AI1064" s="28"/>
      <c r="AJ1064" s="28"/>
      <c r="AK1064" s="28"/>
      <c r="AL1064" s="28"/>
      <c r="AM1064" s="28"/>
      <c r="AN1064" s="28"/>
      <c r="AO1064" s="28"/>
      <c r="AP1064" s="28"/>
      <c r="AQ1064" s="28"/>
      <c r="AR1064" s="28"/>
      <c r="AS1064" s="28"/>
      <c r="AT1064" s="28"/>
      <c r="AU1064" s="28"/>
      <c r="AV1064" s="28"/>
      <c r="AW1064" s="28"/>
      <c r="AX1064" s="28"/>
      <c r="AY1064" s="28"/>
      <c r="AZ1064" s="28"/>
      <c r="BA1064" s="28"/>
      <c r="BB1064" s="28"/>
      <c r="BC1064" s="28"/>
      <c r="BD1064" s="28"/>
      <c r="BE1064" s="28"/>
      <c r="BF1064" s="28"/>
      <c r="BG1064" s="28"/>
      <c r="BH1064" s="28"/>
      <c r="BI1064" s="28"/>
      <c r="BJ1064" s="28"/>
      <c r="BK1064" s="28"/>
      <c r="BL1064" s="28"/>
    </row>
    <row r="1065" spans="1:64" ht="12.75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  <c r="R1065" s="28"/>
      <c r="S1065" s="28"/>
      <c r="T1065" s="28"/>
      <c r="U1065" s="28"/>
      <c r="V1065" s="28"/>
      <c r="W1065" s="28"/>
      <c r="X1065" s="28"/>
      <c r="Y1065" s="28"/>
      <c r="Z1065" s="28"/>
      <c r="AA1065" s="28"/>
      <c r="AB1065" s="28"/>
      <c r="AC1065" s="28"/>
      <c r="AD1065" s="28"/>
      <c r="AE1065" s="28"/>
      <c r="AF1065" s="28"/>
      <c r="AG1065" s="28"/>
      <c r="AH1065" s="28"/>
      <c r="AI1065" s="28"/>
      <c r="AJ1065" s="28"/>
      <c r="AK1065" s="28"/>
      <c r="AL1065" s="28"/>
      <c r="AM1065" s="28"/>
      <c r="AN1065" s="28"/>
      <c r="AO1065" s="28"/>
      <c r="AP1065" s="28"/>
      <c r="AQ1065" s="28"/>
      <c r="AR1065" s="28"/>
      <c r="AS1065" s="28"/>
      <c r="AT1065" s="28"/>
      <c r="AU1065" s="28"/>
      <c r="AV1065" s="28"/>
      <c r="AW1065" s="28"/>
      <c r="AX1065" s="28"/>
      <c r="AY1065" s="28"/>
      <c r="AZ1065" s="28"/>
      <c r="BA1065" s="28"/>
      <c r="BB1065" s="28"/>
      <c r="BC1065" s="28"/>
      <c r="BD1065" s="28"/>
      <c r="BE1065" s="28"/>
      <c r="BF1065" s="28"/>
      <c r="BG1065" s="28"/>
      <c r="BH1065" s="28"/>
      <c r="BI1065" s="28"/>
      <c r="BJ1065" s="28"/>
      <c r="BK1065" s="28"/>
      <c r="BL1065" s="28"/>
    </row>
    <row r="1066" spans="1:64" ht="12.75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  <c r="R1066" s="28"/>
      <c r="S1066" s="28"/>
      <c r="T1066" s="28"/>
      <c r="U1066" s="28"/>
      <c r="V1066" s="28"/>
      <c r="W1066" s="28"/>
      <c r="X1066" s="28"/>
      <c r="Y1066" s="28"/>
      <c r="Z1066" s="28"/>
      <c r="AA1066" s="28"/>
      <c r="AB1066" s="28"/>
      <c r="AC1066" s="28"/>
      <c r="AD1066" s="28"/>
      <c r="AE1066" s="28"/>
      <c r="AF1066" s="28"/>
      <c r="AG1066" s="28"/>
      <c r="AH1066" s="28"/>
      <c r="AI1066" s="28"/>
      <c r="AJ1066" s="28"/>
      <c r="AK1066" s="28"/>
      <c r="AL1066" s="28"/>
      <c r="AM1066" s="28"/>
      <c r="AN1066" s="28"/>
      <c r="AO1066" s="28"/>
      <c r="AP1066" s="28"/>
      <c r="AQ1066" s="28"/>
      <c r="AR1066" s="28"/>
      <c r="AS1066" s="28"/>
      <c r="AT1066" s="28"/>
      <c r="AU1066" s="28"/>
      <c r="AV1066" s="28"/>
      <c r="AW1066" s="28"/>
      <c r="AX1066" s="28"/>
      <c r="AY1066" s="28"/>
      <c r="AZ1066" s="28"/>
      <c r="BA1066" s="28"/>
      <c r="BB1066" s="28"/>
      <c r="BC1066" s="28"/>
      <c r="BD1066" s="28"/>
      <c r="BE1066" s="28"/>
      <c r="BF1066" s="28"/>
      <c r="BG1066" s="28"/>
      <c r="BH1066" s="28"/>
      <c r="BI1066" s="28"/>
      <c r="BJ1066" s="28"/>
      <c r="BK1066" s="28"/>
      <c r="BL1066" s="28"/>
    </row>
    <row r="1067" spans="1:64" ht="12.75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28"/>
      <c r="U1067" s="28"/>
      <c r="V1067" s="28"/>
      <c r="W1067" s="28"/>
      <c r="X1067" s="28"/>
      <c r="Y1067" s="28"/>
      <c r="Z1067" s="28"/>
      <c r="AA1067" s="28"/>
      <c r="AB1067" s="28"/>
      <c r="AC1067" s="28"/>
      <c r="AD1067" s="28"/>
      <c r="AE1067" s="28"/>
      <c r="AF1067" s="28"/>
      <c r="AG1067" s="28"/>
      <c r="AH1067" s="28"/>
      <c r="AI1067" s="28"/>
      <c r="AJ1067" s="28"/>
      <c r="AK1067" s="28"/>
      <c r="AL1067" s="28"/>
      <c r="AM1067" s="28"/>
      <c r="AN1067" s="28"/>
      <c r="AO1067" s="28"/>
      <c r="AP1067" s="28"/>
      <c r="AQ1067" s="28"/>
      <c r="AR1067" s="28"/>
      <c r="AS1067" s="28"/>
      <c r="AT1067" s="28"/>
      <c r="AU1067" s="28"/>
      <c r="AV1067" s="28"/>
      <c r="AW1067" s="28"/>
      <c r="AX1067" s="28"/>
      <c r="AY1067" s="28"/>
      <c r="AZ1067" s="28"/>
      <c r="BA1067" s="28"/>
      <c r="BB1067" s="28"/>
      <c r="BC1067" s="28"/>
      <c r="BD1067" s="28"/>
      <c r="BE1067" s="28"/>
      <c r="BF1067" s="28"/>
      <c r="BG1067" s="28"/>
      <c r="BH1067" s="28"/>
      <c r="BI1067" s="28"/>
      <c r="BJ1067" s="28"/>
      <c r="BK1067" s="28"/>
      <c r="BL1067" s="28"/>
    </row>
    <row r="1068" spans="1:64" ht="12.75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28"/>
      <c r="T1068" s="28"/>
      <c r="U1068" s="28"/>
      <c r="V1068" s="28"/>
      <c r="W1068" s="28"/>
      <c r="X1068" s="28"/>
      <c r="Y1068" s="28"/>
      <c r="Z1068" s="28"/>
      <c r="AA1068" s="28"/>
      <c r="AB1068" s="28"/>
      <c r="AC1068" s="28"/>
      <c r="AD1068" s="28"/>
      <c r="AE1068" s="28"/>
      <c r="AF1068" s="28"/>
      <c r="AG1068" s="28"/>
      <c r="AH1068" s="28"/>
      <c r="AI1068" s="28"/>
      <c r="AJ1068" s="28"/>
      <c r="AK1068" s="28"/>
      <c r="AL1068" s="28"/>
      <c r="AM1068" s="28"/>
      <c r="AN1068" s="28"/>
      <c r="AO1068" s="28"/>
      <c r="AP1068" s="28"/>
      <c r="AQ1068" s="28"/>
      <c r="AR1068" s="28"/>
      <c r="AS1068" s="28"/>
      <c r="AT1068" s="28"/>
      <c r="AU1068" s="28"/>
      <c r="AV1068" s="28"/>
      <c r="AW1068" s="28"/>
      <c r="AX1068" s="28"/>
      <c r="AY1068" s="28"/>
      <c r="AZ1068" s="28"/>
      <c r="BA1068" s="28"/>
      <c r="BB1068" s="28"/>
      <c r="BC1068" s="28"/>
      <c r="BD1068" s="28"/>
      <c r="BE1068" s="28"/>
      <c r="BF1068" s="28"/>
      <c r="BG1068" s="28"/>
      <c r="BH1068" s="28"/>
      <c r="BI1068" s="28"/>
      <c r="BJ1068" s="28"/>
      <c r="BK1068" s="28"/>
      <c r="BL1068" s="28"/>
    </row>
    <row r="1069" spans="1:64" ht="12.75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  <c r="P1069" s="28"/>
      <c r="Q1069" s="28"/>
      <c r="R1069" s="28"/>
      <c r="S1069" s="28"/>
      <c r="T1069" s="28"/>
      <c r="U1069" s="28"/>
      <c r="V1069" s="28"/>
      <c r="W1069" s="28"/>
      <c r="X1069" s="28"/>
      <c r="Y1069" s="28"/>
      <c r="Z1069" s="28"/>
      <c r="AA1069" s="28"/>
      <c r="AB1069" s="28"/>
      <c r="AC1069" s="28"/>
      <c r="AD1069" s="28"/>
      <c r="AE1069" s="28"/>
      <c r="AF1069" s="28"/>
      <c r="AG1069" s="28"/>
      <c r="AH1069" s="28"/>
      <c r="AI1069" s="28"/>
      <c r="AJ1069" s="28"/>
      <c r="AK1069" s="28"/>
      <c r="AL1069" s="28"/>
      <c r="AM1069" s="28"/>
      <c r="AN1069" s="28"/>
      <c r="AO1069" s="28"/>
      <c r="AP1069" s="28"/>
      <c r="AQ1069" s="28"/>
      <c r="AR1069" s="28"/>
      <c r="AS1069" s="28"/>
      <c r="AT1069" s="28"/>
      <c r="AU1069" s="28"/>
      <c r="AV1069" s="28"/>
      <c r="AW1069" s="28"/>
      <c r="AX1069" s="28"/>
      <c r="AY1069" s="28"/>
      <c r="AZ1069" s="28"/>
      <c r="BA1069" s="28"/>
      <c r="BB1069" s="28"/>
      <c r="BC1069" s="28"/>
      <c r="BD1069" s="28"/>
      <c r="BE1069" s="28"/>
      <c r="BF1069" s="28"/>
      <c r="BG1069" s="28"/>
      <c r="BH1069" s="28"/>
      <c r="BI1069" s="28"/>
      <c r="BJ1069" s="28"/>
      <c r="BK1069" s="28"/>
      <c r="BL1069" s="28"/>
    </row>
    <row r="1070" spans="1:64" ht="12.75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  <c r="R1070" s="28"/>
      <c r="S1070" s="28"/>
      <c r="T1070" s="28"/>
      <c r="U1070" s="28"/>
      <c r="V1070" s="28"/>
      <c r="W1070" s="28"/>
      <c r="X1070" s="28"/>
      <c r="Y1070" s="28"/>
      <c r="Z1070" s="28"/>
      <c r="AA1070" s="28"/>
      <c r="AB1070" s="28"/>
      <c r="AC1070" s="28"/>
      <c r="AD1070" s="28"/>
      <c r="AE1070" s="28"/>
      <c r="AF1070" s="28"/>
      <c r="AG1070" s="28"/>
      <c r="AH1070" s="28"/>
      <c r="AI1070" s="28"/>
      <c r="AJ1070" s="28"/>
      <c r="AK1070" s="28"/>
      <c r="AL1070" s="28"/>
      <c r="AM1070" s="28"/>
      <c r="AN1070" s="28"/>
      <c r="AO1070" s="28"/>
      <c r="AP1070" s="28"/>
      <c r="AQ1070" s="28"/>
      <c r="AR1070" s="28"/>
      <c r="AS1070" s="28"/>
      <c r="AT1070" s="28"/>
      <c r="AU1070" s="28"/>
      <c r="AV1070" s="28"/>
      <c r="AW1070" s="28"/>
      <c r="AX1070" s="28"/>
      <c r="AY1070" s="28"/>
      <c r="AZ1070" s="28"/>
      <c r="BA1070" s="28"/>
      <c r="BB1070" s="28"/>
      <c r="BC1070" s="28"/>
      <c r="BD1070" s="28"/>
      <c r="BE1070" s="28"/>
      <c r="BF1070" s="28"/>
      <c r="BG1070" s="28"/>
      <c r="BH1070" s="28"/>
      <c r="BI1070" s="28"/>
      <c r="BJ1070" s="28"/>
      <c r="BK1070" s="28"/>
      <c r="BL1070" s="28"/>
    </row>
    <row r="1071" spans="1:64" ht="12.75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  <c r="R1071" s="28"/>
      <c r="S1071" s="28"/>
      <c r="T1071" s="28"/>
      <c r="U1071" s="28"/>
      <c r="V1071" s="28"/>
      <c r="W1071" s="28"/>
      <c r="X1071" s="28"/>
      <c r="Y1071" s="28"/>
      <c r="Z1071" s="28"/>
      <c r="AA1071" s="28"/>
      <c r="AB1071" s="28"/>
      <c r="AC1071" s="28"/>
      <c r="AD1071" s="28"/>
      <c r="AE1071" s="28"/>
      <c r="AF1071" s="28"/>
      <c r="AG1071" s="28"/>
      <c r="AH1071" s="28"/>
      <c r="AI1071" s="28"/>
      <c r="AJ1071" s="28"/>
      <c r="AK1071" s="28"/>
      <c r="AL1071" s="28"/>
      <c r="AM1071" s="28"/>
      <c r="AN1071" s="28"/>
      <c r="AO1071" s="28"/>
      <c r="AP1071" s="28"/>
      <c r="AQ1071" s="28"/>
      <c r="AR1071" s="28"/>
      <c r="AS1071" s="28"/>
      <c r="AT1071" s="28"/>
      <c r="AU1071" s="28"/>
      <c r="AV1071" s="28"/>
      <c r="AW1071" s="28"/>
      <c r="AX1071" s="28"/>
      <c r="AY1071" s="28"/>
      <c r="AZ1071" s="28"/>
      <c r="BA1071" s="28"/>
      <c r="BB1071" s="28"/>
      <c r="BC1071" s="28"/>
      <c r="BD1071" s="28"/>
      <c r="BE1071" s="28"/>
      <c r="BF1071" s="28"/>
      <c r="BG1071" s="28"/>
      <c r="BH1071" s="28"/>
      <c r="BI1071" s="28"/>
      <c r="BJ1071" s="28"/>
      <c r="BK1071" s="28"/>
      <c r="BL1071" s="28"/>
    </row>
    <row r="1072" spans="1:64" ht="12.75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  <c r="R1072" s="28"/>
      <c r="S1072" s="28"/>
      <c r="T1072" s="28"/>
      <c r="U1072" s="28"/>
      <c r="V1072" s="28"/>
      <c r="W1072" s="28"/>
      <c r="X1072" s="28"/>
      <c r="Y1072" s="28"/>
      <c r="Z1072" s="28"/>
      <c r="AA1072" s="28"/>
      <c r="AB1072" s="28"/>
      <c r="AC1072" s="28"/>
      <c r="AD1072" s="28"/>
      <c r="AE1072" s="28"/>
      <c r="AF1072" s="28"/>
      <c r="AG1072" s="28"/>
      <c r="AH1072" s="28"/>
      <c r="AI1072" s="28"/>
      <c r="AJ1072" s="28"/>
      <c r="AK1072" s="28"/>
      <c r="AL1072" s="28"/>
      <c r="AM1072" s="28"/>
      <c r="AN1072" s="28"/>
      <c r="AO1072" s="28"/>
      <c r="AP1072" s="28"/>
      <c r="AQ1072" s="28"/>
      <c r="AR1072" s="28"/>
      <c r="AS1072" s="28"/>
      <c r="AT1072" s="28"/>
      <c r="AU1072" s="28"/>
      <c r="AV1072" s="28"/>
      <c r="AW1072" s="28"/>
      <c r="AX1072" s="28"/>
      <c r="AY1072" s="28"/>
      <c r="AZ1072" s="28"/>
      <c r="BA1072" s="28"/>
      <c r="BB1072" s="28"/>
      <c r="BC1072" s="28"/>
      <c r="BD1072" s="28"/>
      <c r="BE1072" s="28"/>
      <c r="BF1072" s="28"/>
      <c r="BG1072" s="28"/>
      <c r="BH1072" s="28"/>
      <c r="BI1072" s="28"/>
      <c r="BJ1072" s="28"/>
      <c r="BK1072" s="28"/>
      <c r="BL1072" s="28"/>
    </row>
    <row r="1073" spans="1:64" ht="12.75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  <c r="P1073" s="28"/>
      <c r="Q1073" s="28"/>
      <c r="R1073" s="28"/>
      <c r="S1073" s="28"/>
      <c r="T1073" s="28"/>
      <c r="U1073" s="28"/>
      <c r="V1073" s="28"/>
      <c r="W1073" s="28"/>
      <c r="X1073" s="28"/>
      <c r="Y1073" s="28"/>
      <c r="Z1073" s="28"/>
      <c r="AA1073" s="28"/>
      <c r="AB1073" s="28"/>
      <c r="AC1073" s="28"/>
      <c r="AD1073" s="28"/>
      <c r="AE1073" s="28"/>
      <c r="AF1073" s="28"/>
      <c r="AG1073" s="28"/>
      <c r="AH1073" s="28"/>
      <c r="AI1073" s="28"/>
      <c r="AJ1073" s="28"/>
      <c r="AK1073" s="28"/>
      <c r="AL1073" s="28"/>
      <c r="AM1073" s="28"/>
      <c r="AN1073" s="28"/>
      <c r="AO1073" s="28"/>
      <c r="AP1073" s="28"/>
      <c r="AQ1073" s="28"/>
      <c r="AR1073" s="28"/>
      <c r="AS1073" s="28"/>
      <c r="AT1073" s="28"/>
      <c r="AU1073" s="28"/>
      <c r="AV1073" s="28"/>
      <c r="AW1073" s="28"/>
      <c r="AX1073" s="28"/>
      <c r="AY1073" s="28"/>
      <c r="AZ1073" s="28"/>
      <c r="BA1073" s="28"/>
      <c r="BB1073" s="28"/>
      <c r="BC1073" s="28"/>
      <c r="BD1073" s="28"/>
      <c r="BE1073" s="28"/>
      <c r="BF1073" s="28"/>
      <c r="BG1073" s="28"/>
      <c r="BH1073" s="28"/>
      <c r="BI1073" s="28"/>
      <c r="BJ1073" s="28"/>
      <c r="BK1073" s="28"/>
      <c r="BL1073" s="28"/>
    </row>
    <row r="1074" spans="1:64" ht="12.75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  <c r="R1074" s="28"/>
      <c r="S1074" s="28"/>
      <c r="T1074" s="28"/>
      <c r="U1074" s="28"/>
      <c r="V1074" s="28"/>
      <c r="W1074" s="28"/>
      <c r="X1074" s="28"/>
      <c r="Y1074" s="28"/>
      <c r="Z1074" s="28"/>
      <c r="AA1074" s="28"/>
      <c r="AB1074" s="28"/>
      <c r="AC1074" s="28"/>
      <c r="AD1074" s="28"/>
      <c r="AE1074" s="28"/>
      <c r="AF1074" s="28"/>
      <c r="AG1074" s="28"/>
      <c r="AH1074" s="28"/>
      <c r="AI1074" s="28"/>
      <c r="AJ1074" s="28"/>
      <c r="AK1074" s="28"/>
      <c r="AL1074" s="28"/>
      <c r="AM1074" s="28"/>
      <c r="AN1074" s="28"/>
      <c r="AO1074" s="28"/>
      <c r="AP1074" s="28"/>
      <c r="AQ1074" s="28"/>
      <c r="AR1074" s="28"/>
      <c r="AS1074" s="28"/>
      <c r="AT1074" s="28"/>
      <c r="AU1074" s="28"/>
      <c r="AV1074" s="28"/>
      <c r="AW1074" s="28"/>
      <c r="AX1074" s="28"/>
      <c r="AY1074" s="28"/>
      <c r="AZ1074" s="28"/>
      <c r="BA1074" s="28"/>
      <c r="BB1074" s="28"/>
      <c r="BC1074" s="28"/>
      <c r="BD1074" s="28"/>
      <c r="BE1074" s="28"/>
      <c r="BF1074" s="28"/>
      <c r="BG1074" s="28"/>
      <c r="BH1074" s="28"/>
      <c r="BI1074" s="28"/>
      <c r="BJ1074" s="28"/>
      <c r="BK1074" s="28"/>
      <c r="BL1074" s="28"/>
    </row>
    <row r="1075" spans="1:64" ht="12.75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  <c r="P1075" s="28"/>
      <c r="Q1075" s="28"/>
      <c r="R1075" s="28"/>
      <c r="S1075" s="28"/>
      <c r="T1075" s="28"/>
      <c r="U1075" s="28"/>
      <c r="V1075" s="28"/>
      <c r="W1075" s="28"/>
      <c r="X1075" s="28"/>
      <c r="Y1075" s="28"/>
      <c r="Z1075" s="28"/>
      <c r="AA1075" s="28"/>
      <c r="AB1075" s="28"/>
      <c r="AC1075" s="28"/>
      <c r="AD1075" s="28"/>
      <c r="AE1075" s="28"/>
      <c r="AF1075" s="28"/>
      <c r="AG1075" s="28"/>
      <c r="AH1075" s="28"/>
      <c r="AI1075" s="28"/>
      <c r="AJ1075" s="28"/>
      <c r="AK1075" s="28"/>
      <c r="AL1075" s="28"/>
      <c r="AM1075" s="28"/>
      <c r="AN1075" s="28"/>
      <c r="AO1075" s="28"/>
      <c r="AP1075" s="28"/>
      <c r="AQ1075" s="28"/>
      <c r="AR1075" s="28"/>
      <c r="AS1075" s="28"/>
      <c r="AT1075" s="28"/>
      <c r="AU1075" s="28"/>
      <c r="AV1075" s="28"/>
      <c r="AW1075" s="28"/>
      <c r="AX1075" s="28"/>
      <c r="AY1075" s="28"/>
      <c r="AZ1075" s="28"/>
      <c r="BA1075" s="28"/>
      <c r="BB1075" s="28"/>
      <c r="BC1075" s="28"/>
      <c r="BD1075" s="28"/>
      <c r="BE1075" s="28"/>
      <c r="BF1075" s="28"/>
      <c r="BG1075" s="28"/>
      <c r="BH1075" s="28"/>
      <c r="BI1075" s="28"/>
      <c r="BJ1075" s="28"/>
      <c r="BK1075" s="28"/>
      <c r="BL1075" s="28"/>
    </row>
    <row r="1076" spans="1:64" ht="12.75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  <c r="R1076" s="28"/>
      <c r="S1076" s="28"/>
      <c r="T1076" s="28"/>
      <c r="U1076" s="28"/>
      <c r="V1076" s="28"/>
      <c r="W1076" s="28"/>
      <c r="X1076" s="28"/>
      <c r="Y1076" s="28"/>
      <c r="Z1076" s="28"/>
      <c r="AA1076" s="28"/>
      <c r="AB1076" s="28"/>
      <c r="AC1076" s="28"/>
      <c r="AD1076" s="28"/>
      <c r="AE1076" s="28"/>
      <c r="AF1076" s="28"/>
      <c r="AG1076" s="28"/>
      <c r="AH1076" s="28"/>
      <c r="AI1076" s="28"/>
      <c r="AJ1076" s="28"/>
      <c r="AK1076" s="28"/>
      <c r="AL1076" s="28"/>
      <c r="AM1076" s="28"/>
      <c r="AN1076" s="28"/>
      <c r="AO1076" s="28"/>
      <c r="AP1076" s="28"/>
      <c r="AQ1076" s="28"/>
      <c r="AR1076" s="28"/>
      <c r="AS1076" s="28"/>
      <c r="AT1076" s="28"/>
      <c r="AU1076" s="28"/>
      <c r="AV1076" s="28"/>
      <c r="AW1076" s="28"/>
      <c r="AX1076" s="28"/>
      <c r="AY1076" s="28"/>
      <c r="AZ1076" s="28"/>
      <c r="BA1076" s="28"/>
      <c r="BB1076" s="28"/>
      <c r="BC1076" s="28"/>
      <c r="BD1076" s="28"/>
      <c r="BE1076" s="28"/>
      <c r="BF1076" s="28"/>
      <c r="BG1076" s="28"/>
      <c r="BH1076" s="28"/>
      <c r="BI1076" s="28"/>
      <c r="BJ1076" s="28"/>
      <c r="BK1076" s="28"/>
      <c r="BL1076" s="28"/>
    </row>
    <row r="1077" spans="1:64" ht="12.75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  <c r="R1077" s="28"/>
      <c r="S1077" s="28"/>
      <c r="T1077" s="28"/>
      <c r="U1077" s="28"/>
      <c r="V1077" s="28"/>
      <c r="W1077" s="28"/>
      <c r="X1077" s="28"/>
      <c r="Y1077" s="28"/>
      <c r="Z1077" s="28"/>
      <c r="AA1077" s="28"/>
      <c r="AB1077" s="28"/>
      <c r="AC1077" s="28"/>
      <c r="AD1077" s="28"/>
      <c r="AE1077" s="28"/>
      <c r="AF1077" s="28"/>
      <c r="AG1077" s="28"/>
      <c r="AH1077" s="28"/>
      <c r="AI1077" s="28"/>
      <c r="AJ1077" s="28"/>
      <c r="AK1077" s="28"/>
      <c r="AL1077" s="28"/>
      <c r="AM1077" s="28"/>
      <c r="AN1077" s="28"/>
      <c r="AO1077" s="28"/>
      <c r="AP1077" s="28"/>
      <c r="AQ1077" s="28"/>
      <c r="AR1077" s="28"/>
      <c r="AS1077" s="28"/>
      <c r="AT1077" s="28"/>
      <c r="AU1077" s="28"/>
      <c r="AV1077" s="28"/>
      <c r="AW1077" s="28"/>
      <c r="AX1077" s="28"/>
      <c r="AY1077" s="28"/>
      <c r="AZ1077" s="28"/>
      <c r="BA1077" s="28"/>
      <c r="BB1077" s="28"/>
      <c r="BC1077" s="28"/>
      <c r="BD1077" s="28"/>
      <c r="BE1077" s="28"/>
      <c r="BF1077" s="28"/>
      <c r="BG1077" s="28"/>
      <c r="BH1077" s="28"/>
      <c r="BI1077" s="28"/>
      <c r="BJ1077" s="28"/>
      <c r="BK1077" s="28"/>
      <c r="BL1077" s="28"/>
    </row>
    <row r="1078" spans="1:64" ht="12.75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28"/>
      <c r="Q1078" s="28"/>
      <c r="R1078" s="28"/>
      <c r="S1078" s="28"/>
      <c r="T1078" s="28"/>
      <c r="U1078" s="28"/>
      <c r="V1078" s="28"/>
      <c r="W1078" s="28"/>
      <c r="X1078" s="28"/>
      <c r="Y1078" s="28"/>
      <c r="Z1078" s="28"/>
      <c r="AA1078" s="28"/>
      <c r="AB1078" s="28"/>
      <c r="AC1078" s="28"/>
      <c r="AD1078" s="28"/>
      <c r="AE1078" s="28"/>
      <c r="AF1078" s="28"/>
      <c r="AG1078" s="28"/>
      <c r="AH1078" s="28"/>
      <c r="AI1078" s="28"/>
      <c r="AJ1078" s="28"/>
      <c r="AK1078" s="28"/>
      <c r="AL1078" s="28"/>
      <c r="AM1078" s="28"/>
      <c r="AN1078" s="28"/>
      <c r="AO1078" s="28"/>
      <c r="AP1078" s="28"/>
      <c r="AQ1078" s="28"/>
      <c r="AR1078" s="28"/>
      <c r="AS1078" s="28"/>
      <c r="AT1078" s="28"/>
      <c r="AU1078" s="28"/>
      <c r="AV1078" s="28"/>
      <c r="AW1078" s="28"/>
      <c r="AX1078" s="28"/>
      <c r="AY1078" s="28"/>
      <c r="AZ1078" s="28"/>
      <c r="BA1078" s="28"/>
      <c r="BB1078" s="28"/>
      <c r="BC1078" s="28"/>
      <c r="BD1078" s="28"/>
      <c r="BE1078" s="28"/>
      <c r="BF1078" s="28"/>
      <c r="BG1078" s="28"/>
      <c r="BH1078" s="28"/>
      <c r="BI1078" s="28"/>
      <c r="BJ1078" s="28"/>
      <c r="BK1078" s="28"/>
      <c r="BL1078" s="28"/>
    </row>
    <row r="1079" spans="1:64" ht="12.75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  <c r="P1079" s="28"/>
      <c r="Q1079" s="28"/>
      <c r="R1079" s="28"/>
      <c r="S1079" s="28"/>
      <c r="T1079" s="28"/>
      <c r="U1079" s="28"/>
      <c r="V1079" s="28"/>
      <c r="W1079" s="28"/>
      <c r="X1079" s="28"/>
      <c r="Y1079" s="28"/>
      <c r="Z1079" s="28"/>
      <c r="AA1079" s="28"/>
      <c r="AB1079" s="28"/>
      <c r="AC1079" s="28"/>
      <c r="AD1079" s="28"/>
      <c r="AE1079" s="28"/>
      <c r="AF1079" s="28"/>
      <c r="AG1079" s="28"/>
      <c r="AH1079" s="28"/>
      <c r="AI1079" s="28"/>
      <c r="AJ1079" s="28"/>
      <c r="AK1079" s="28"/>
      <c r="AL1079" s="28"/>
      <c r="AM1079" s="28"/>
      <c r="AN1079" s="28"/>
      <c r="AO1079" s="28"/>
      <c r="AP1079" s="28"/>
      <c r="AQ1079" s="28"/>
      <c r="AR1079" s="28"/>
      <c r="AS1079" s="28"/>
      <c r="AT1079" s="28"/>
      <c r="AU1079" s="28"/>
      <c r="AV1079" s="28"/>
      <c r="AW1079" s="28"/>
      <c r="AX1079" s="28"/>
      <c r="AY1079" s="28"/>
      <c r="AZ1079" s="28"/>
      <c r="BA1079" s="28"/>
      <c r="BB1079" s="28"/>
      <c r="BC1079" s="28"/>
      <c r="BD1079" s="28"/>
      <c r="BE1079" s="28"/>
      <c r="BF1079" s="28"/>
      <c r="BG1079" s="28"/>
      <c r="BH1079" s="28"/>
      <c r="BI1079" s="28"/>
      <c r="BJ1079" s="28"/>
      <c r="BK1079" s="28"/>
      <c r="BL1079" s="28"/>
    </row>
    <row r="1080" spans="1:64" ht="12.75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  <c r="R1080" s="28"/>
      <c r="S1080" s="28"/>
      <c r="T1080" s="28"/>
      <c r="U1080" s="28"/>
      <c r="V1080" s="28"/>
      <c r="W1080" s="28"/>
      <c r="X1080" s="28"/>
      <c r="Y1080" s="28"/>
      <c r="Z1080" s="28"/>
      <c r="AA1080" s="28"/>
      <c r="AB1080" s="28"/>
      <c r="AC1080" s="28"/>
      <c r="AD1080" s="28"/>
      <c r="AE1080" s="28"/>
      <c r="AF1080" s="28"/>
      <c r="AG1080" s="28"/>
      <c r="AH1080" s="28"/>
      <c r="AI1080" s="28"/>
      <c r="AJ1080" s="28"/>
      <c r="AK1080" s="28"/>
      <c r="AL1080" s="28"/>
      <c r="AM1080" s="28"/>
      <c r="AN1080" s="28"/>
      <c r="AO1080" s="28"/>
      <c r="AP1080" s="28"/>
      <c r="AQ1080" s="28"/>
      <c r="AR1080" s="28"/>
      <c r="AS1080" s="28"/>
      <c r="AT1080" s="28"/>
      <c r="AU1080" s="28"/>
      <c r="AV1080" s="28"/>
      <c r="AW1080" s="28"/>
      <c r="AX1080" s="28"/>
      <c r="AY1080" s="28"/>
      <c r="AZ1080" s="28"/>
      <c r="BA1080" s="28"/>
      <c r="BB1080" s="28"/>
      <c r="BC1080" s="28"/>
      <c r="BD1080" s="28"/>
      <c r="BE1080" s="28"/>
      <c r="BF1080" s="28"/>
      <c r="BG1080" s="28"/>
      <c r="BH1080" s="28"/>
      <c r="BI1080" s="28"/>
      <c r="BJ1080" s="28"/>
      <c r="BK1080" s="28"/>
      <c r="BL1080" s="28"/>
    </row>
    <row r="1081" spans="1:64" ht="12.75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  <c r="R1081" s="28"/>
      <c r="S1081" s="28"/>
      <c r="T1081" s="28"/>
      <c r="U1081" s="28"/>
      <c r="V1081" s="28"/>
      <c r="W1081" s="28"/>
      <c r="X1081" s="28"/>
      <c r="Y1081" s="28"/>
      <c r="Z1081" s="28"/>
      <c r="AA1081" s="28"/>
      <c r="AB1081" s="28"/>
      <c r="AC1081" s="28"/>
      <c r="AD1081" s="28"/>
      <c r="AE1081" s="28"/>
      <c r="AF1081" s="28"/>
      <c r="AG1081" s="28"/>
      <c r="AH1081" s="28"/>
      <c r="AI1081" s="28"/>
      <c r="AJ1081" s="28"/>
      <c r="AK1081" s="28"/>
      <c r="AL1081" s="28"/>
      <c r="AM1081" s="28"/>
      <c r="AN1081" s="28"/>
      <c r="AO1081" s="28"/>
      <c r="AP1081" s="28"/>
      <c r="AQ1081" s="28"/>
      <c r="AR1081" s="28"/>
      <c r="AS1081" s="28"/>
      <c r="AT1081" s="28"/>
      <c r="AU1081" s="28"/>
      <c r="AV1081" s="28"/>
      <c r="AW1081" s="28"/>
      <c r="AX1081" s="28"/>
      <c r="AY1081" s="28"/>
      <c r="AZ1081" s="28"/>
      <c r="BA1081" s="28"/>
      <c r="BB1081" s="28"/>
      <c r="BC1081" s="28"/>
      <c r="BD1081" s="28"/>
      <c r="BE1081" s="28"/>
      <c r="BF1081" s="28"/>
      <c r="BG1081" s="28"/>
      <c r="BH1081" s="28"/>
      <c r="BI1081" s="28"/>
      <c r="BJ1081" s="28"/>
      <c r="BK1081" s="28"/>
      <c r="BL1081" s="28"/>
    </row>
    <row r="1082" spans="1:64" ht="12.75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  <c r="R1082" s="28"/>
      <c r="S1082" s="28"/>
      <c r="T1082" s="28"/>
      <c r="U1082" s="28"/>
      <c r="V1082" s="28"/>
      <c r="W1082" s="28"/>
      <c r="X1082" s="28"/>
      <c r="Y1082" s="28"/>
      <c r="Z1082" s="28"/>
      <c r="AA1082" s="28"/>
      <c r="AB1082" s="28"/>
      <c r="AC1082" s="28"/>
      <c r="AD1082" s="28"/>
      <c r="AE1082" s="28"/>
      <c r="AF1082" s="28"/>
      <c r="AG1082" s="28"/>
      <c r="AH1082" s="28"/>
      <c r="AI1082" s="28"/>
      <c r="AJ1082" s="28"/>
      <c r="AK1082" s="28"/>
      <c r="AL1082" s="28"/>
      <c r="AM1082" s="28"/>
      <c r="AN1082" s="28"/>
      <c r="AO1082" s="28"/>
      <c r="AP1082" s="28"/>
      <c r="AQ1082" s="28"/>
      <c r="AR1082" s="28"/>
      <c r="AS1082" s="28"/>
      <c r="AT1082" s="28"/>
      <c r="AU1082" s="28"/>
      <c r="AV1082" s="28"/>
      <c r="AW1082" s="28"/>
      <c r="AX1082" s="28"/>
      <c r="AY1082" s="28"/>
      <c r="AZ1082" s="28"/>
      <c r="BA1082" s="28"/>
      <c r="BB1082" s="28"/>
      <c r="BC1082" s="28"/>
      <c r="BD1082" s="28"/>
      <c r="BE1082" s="28"/>
      <c r="BF1082" s="28"/>
      <c r="BG1082" s="28"/>
      <c r="BH1082" s="28"/>
      <c r="BI1082" s="28"/>
      <c r="BJ1082" s="28"/>
      <c r="BK1082" s="28"/>
      <c r="BL1082" s="28"/>
    </row>
    <row r="1083" spans="1:64" ht="12.75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28"/>
      <c r="T1083" s="28"/>
      <c r="U1083" s="28"/>
      <c r="V1083" s="28"/>
      <c r="W1083" s="28"/>
      <c r="X1083" s="28"/>
      <c r="Y1083" s="28"/>
      <c r="Z1083" s="28"/>
      <c r="AA1083" s="28"/>
      <c r="AB1083" s="28"/>
      <c r="AC1083" s="28"/>
      <c r="AD1083" s="28"/>
      <c r="AE1083" s="28"/>
      <c r="AF1083" s="28"/>
      <c r="AG1083" s="28"/>
      <c r="AH1083" s="28"/>
      <c r="AI1083" s="28"/>
      <c r="AJ1083" s="28"/>
      <c r="AK1083" s="28"/>
      <c r="AL1083" s="28"/>
      <c r="AM1083" s="28"/>
      <c r="AN1083" s="28"/>
      <c r="AO1083" s="28"/>
      <c r="AP1083" s="28"/>
      <c r="AQ1083" s="28"/>
      <c r="AR1083" s="28"/>
      <c r="AS1083" s="28"/>
      <c r="AT1083" s="28"/>
      <c r="AU1083" s="28"/>
      <c r="AV1083" s="28"/>
      <c r="AW1083" s="28"/>
      <c r="AX1083" s="28"/>
      <c r="AY1083" s="28"/>
      <c r="AZ1083" s="28"/>
      <c r="BA1083" s="28"/>
      <c r="BB1083" s="28"/>
      <c r="BC1083" s="28"/>
      <c r="BD1083" s="28"/>
      <c r="BE1083" s="28"/>
      <c r="BF1083" s="28"/>
      <c r="BG1083" s="28"/>
      <c r="BH1083" s="28"/>
      <c r="BI1083" s="28"/>
      <c r="BJ1083" s="28"/>
      <c r="BK1083" s="28"/>
      <c r="BL1083" s="28"/>
    </row>
    <row r="1084" spans="1:64" ht="12.75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  <c r="P1084" s="28"/>
      <c r="Q1084" s="28"/>
      <c r="R1084" s="28"/>
      <c r="S1084" s="28"/>
      <c r="T1084" s="28"/>
      <c r="U1084" s="28"/>
      <c r="V1084" s="28"/>
      <c r="W1084" s="28"/>
      <c r="X1084" s="28"/>
      <c r="Y1084" s="28"/>
      <c r="Z1084" s="28"/>
      <c r="AA1084" s="28"/>
      <c r="AB1084" s="28"/>
      <c r="AC1084" s="28"/>
      <c r="AD1084" s="28"/>
      <c r="AE1084" s="28"/>
      <c r="AF1084" s="28"/>
      <c r="AG1084" s="28"/>
      <c r="AH1084" s="28"/>
      <c r="AI1084" s="28"/>
      <c r="AJ1084" s="28"/>
      <c r="AK1084" s="28"/>
      <c r="AL1084" s="28"/>
      <c r="AM1084" s="28"/>
      <c r="AN1084" s="28"/>
      <c r="AO1084" s="28"/>
      <c r="AP1084" s="28"/>
      <c r="AQ1084" s="28"/>
      <c r="AR1084" s="28"/>
      <c r="AS1084" s="28"/>
      <c r="AT1084" s="28"/>
      <c r="AU1084" s="28"/>
      <c r="AV1084" s="28"/>
      <c r="AW1084" s="28"/>
      <c r="AX1084" s="28"/>
      <c r="AY1084" s="28"/>
      <c r="AZ1084" s="28"/>
      <c r="BA1084" s="28"/>
      <c r="BB1084" s="28"/>
      <c r="BC1084" s="28"/>
      <c r="BD1084" s="28"/>
      <c r="BE1084" s="28"/>
      <c r="BF1084" s="28"/>
      <c r="BG1084" s="28"/>
      <c r="BH1084" s="28"/>
      <c r="BI1084" s="28"/>
      <c r="BJ1084" s="28"/>
      <c r="BK1084" s="28"/>
      <c r="BL1084" s="28"/>
    </row>
    <row r="1085" spans="1:64" ht="12.75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28"/>
      <c r="Y1085" s="28"/>
      <c r="Z1085" s="28"/>
      <c r="AA1085" s="28"/>
      <c r="AB1085" s="28"/>
      <c r="AC1085" s="28"/>
      <c r="AD1085" s="28"/>
      <c r="AE1085" s="28"/>
      <c r="AF1085" s="28"/>
      <c r="AG1085" s="28"/>
      <c r="AH1085" s="28"/>
      <c r="AI1085" s="28"/>
      <c r="AJ1085" s="28"/>
      <c r="AK1085" s="28"/>
      <c r="AL1085" s="28"/>
      <c r="AM1085" s="28"/>
      <c r="AN1085" s="28"/>
      <c r="AO1085" s="28"/>
      <c r="AP1085" s="28"/>
      <c r="AQ1085" s="28"/>
      <c r="AR1085" s="28"/>
      <c r="AS1085" s="28"/>
      <c r="AT1085" s="28"/>
      <c r="AU1085" s="28"/>
      <c r="AV1085" s="28"/>
      <c r="AW1085" s="28"/>
      <c r="AX1085" s="28"/>
      <c r="AY1085" s="28"/>
      <c r="AZ1085" s="28"/>
      <c r="BA1085" s="28"/>
      <c r="BB1085" s="28"/>
      <c r="BC1085" s="28"/>
      <c r="BD1085" s="28"/>
      <c r="BE1085" s="28"/>
      <c r="BF1085" s="28"/>
      <c r="BG1085" s="28"/>
      <c r="BH1085" s="28"/>
      <c r="BI1085" s="28"/>
      <c r="BJ1085" s="28"/>
      <c r="BK1085" s="28"/>
      <c r="BL1085" s="28"/>
    </row>
    <row r="1086" spans="1:64" ht="12.75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  <c r="R1086" s="28"/>
      <c r="S1086" s="28"/>
      <c r="T1086" s="28"/>
      <c r="U1086" s="28"/>
      <c r="V1086" s="28"/>
      <c r="W1086" s="28"/>
      <c r="X1086" s="28"/>
      <c r="Y1086" s="28"/>
      <c r="Z1086" s="28"/>
      <c r="AA1086" s="28"/>
      <c r="AB1086" s="28"/>
      <c r="AC1086" s="28"/>
      <c r="AD1086" s="28"/>
      <c r="AE1086" s="28"/>
      <c r="AF1086" s="28"/>
      <c r="AG1086" s="28"/>
      <c r="AH1086" s="28"/>
      <c r="AI1086" s="28"/>
      <c r="AJ1086" s="28"/>
      <c r="AK1086" s="28"/>
      <c r="AL1086" s="28"/>
      <c r="AM1086" s="28"/>
      <c r="AN1086" s="28"/>
      <c r="AO1086" s="28"/>
      <c r="AP1086" s="28"/>
      <c r="AQ1086" s="28"/>
      <c r="AR1086" s="28"/>
      <c r="AS1086" s="28"/>
      <c r="AT1086" s="28"/>
      <c r="AU1086" s="28"/>
      <c r="AV1086" s="28"/>
      <c r="AW1086" s="28"/>
      <c r="AX1086" s="28"/>
      <c r="AY1086" s="28"/>
      <c r="AZ1086" s="28"/>
      <c r="BA1086" s="28"/>
      <c r="BB1086" s="28"/>
      <c r="BC1086" s="28"/>
      <c r="BD1086" s="28"/>
      <c r="BE1086" s="28"/>
      <c r="BF1086" s="28"/>
      <c r="BG1086" s="28"/>
      <c r="BH1086" s="28"/>
      <c r="BI1086" s="28"/>
      <c r="BJ1086" s="28"/>
      <c r="BK1086" s="28"/>
      <c r="BL1086" s="28"/>
    </row>
    <row r="1087" spans="1:64" ht="12.75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  <c r="P1087" s="28"/>
      <c r="Q1087" s="28"/>
      <c r="R1087" s="28"/>
      <c r="S1087" s="28"/>
      <c r="T1087" s="28"/>
      <c r="U1087" s="28"/>
      <c r="V1087" s="28"/>
      <c r="W1087" s="28"/>
      <c r="X1087" s="28"/>
      <c r="Y1087" s="28"/>
      <c r="Z1087" s="28"/>
      <c r="AA1087" s="28"/>
      <c r="AB1087" s="28"/>
      <c r="AC1087" s="28"/>
      <c r="AD1087" s="28"/>
      <c r="AE1087" s="28"/>
      <c r="AF1087" s="28"/>
      <c r="AG1087" s="28"/>
      <c r="AH1087" s="28"/>
      <c r="AI1087" s="28"/>
      <c r="AJ1087" s="28"/>
      <c r="AK1087" s="28"/>
      <c r="AL1087" s="28"/>
      <c r="AM1087" s="28"/>
      <c r="AN1087" s="28"/>
      <c r="AO1087" s="28"/>
      <c r="AP1087" s="28"/>
      <c r="AQ1087" s="28"/>
      <c r="AR1087" s="28"/>
      <c r="AS1087" s="28"/>
      <c r="AT1087" s="28"/>
      <c r="AU1087" s="28"/>
      <c r="AV1087" s="28"/>
      <c r="AW1087" s="28"/>
      <c r="AX1087" s="28"/>
      <c r="AY1087" s="28"/>
      <c r="AZ1087" s="28"/>
      <c r="BA1087" s="28"/>
      <c r="BB1087" s="28"/>
      <c r="BC1087" s="28"/>
      <c r="BD1087" s="28"/>
      <c r="BE1087" s="28"/>
      <c r="BF1087" s="28"/>
      <c r="BG1087" s="28"/>
      <c r="BH1087" s="28"/>
      <c r="BI1087" s="28"/>
      <c r="BJ1087" s="28"/>
      <c r="BK1087" s="28"/>
      <c r="BL1087" s="28"/>
    </row>
    <row r="1088" spans="1:64" ht="12.75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  <c r="P1088" s="28"/>
      <c r="Q1088" s="28"/>
      <c r="R1088" s="28"/>
      <c r="S1088" s="28"/>
      <c r="T1088" s="28"/>
      <c r="U1088" s="28"/>
      <c r="V1088" s="28"/>
      <c r="W1088" s="28"/>
      <c r="X1088" s="28"/>
      <c r="Y1088" s="28"/>
      <c r="Z1088" s="28"/>
      <c r="AA1088" s="28"/>
      <c r="AB1088" s="28"/>
      <c r="AC1088" s="28"/>
      <c r="AD1088" s="28"/>
      <c r="AE1088" s="28"/>
      <c r="AF1088" s="28"/>
      <c r="AG1088" s="28"/>
      <c r="AH1088" s="28"/>
      <c r="AI1088" s="28"/>
      <c r="AJ1088" s="28"/>
      <c r="AK1088" s="28"/>
      <c r="AL1088" s="28"/>
      <c r="AM1088" s="28"/>
      <c r="AN1088" s="28"/>
      <c r="AO1088" s="28"/>
      <c r="AP1088" s="28"/>
      <c r="AQ1088" s="28"/>
      <c r="AR1088" s="28"/>
      <c r="AS1088" s="28"/>
      <c r="AT1088" s="28"/>
      <c r="AU1088" s="28"/>
      <c r="AV1088" s="28"/>
      <c r="AW1088" s="28"/>
      <c r="AX1088" s="28"/>
      <c r="AY1088" s="28"/>
      <c r="AZ1088" s="28"/>
      <c r="BA1088" s="28"/>
      <c r="BB1088" s="28"/>
      <c r="BC1088" s="28"/>
      <c r="BD1088" s="28"/>
      <c r="BE1088" s="28"/>
      <c r="BF1088" s="28"/>
      <c r="BG1088" s="28"/>
      <c r="BH1088" s="28"/>
      <c r="BI1088" s="28"/>
      <c r="BJ1088" s="28"/>
      <c r="BK1088" s="28"/>
      <c r="BL1088" s="28"/>
    </row>
    <row r="1089" spans="1:64" ht="12.75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  <c r="R1089" s="28"/>
      <c r="S1089" s="28"/>
      <c r="T1089" s="28"/>
      <c r="U1089" s="28"/>
      <c r="V1089" s="28"/>
      <c r="W1089" s="28"/>
      <c r="X1089" s="28"/>
      <c r="Y1089" s="28"/>
      <c r="Z1089" s="28"/>
      <c r="AA1089" s="28"/>
      <c r="AB1089" s="28"/>
      <c r="AC1089" s="28"/>
      <c r="AD1089" s="28"/>
      <c r="AE1089" s="28"/>
      <c r="AF1089" s="28"/>
      <c r="AG1089" s="28"/>
      <c r="AH1089" s="28"/>
      <c r="AI1089" s="28"/>
      <c r="AJ1089" s="28"/>
      <c r="AK1089" s="28"/>
      <c r="AL1089" s="28"/>
      <c r="AM1089" s="28"/>
      <c r="AN1089" s="28"/>
      <c r="AO1089" s="28"/>
      <c r="AP1089" s="28"/>
      <c r="AQ1089" s="28"/>
      <c r="AR1089" s="28"/>
      <c r="AS1089" s="28"/>
      <c r="AT1089" s="28"/>
      <c r="AU1089" s="28"/>
      <c r="AV1089" s="28"/>
      <c r="AW1089" s="28"/>
      <c r="AX1089" s="28"/>
      <c r="AY1089" s="28"/>
      <c r="AZ1089" s="28"/>
      <c r="BA1089" s="28"/>
      <c r="BB1089" s="28"/>
      <c r="BC1089" s="28"/>
      <c r="BD1089" s="28"/>
      <c r="BE1089" s="28"/>
      <c r="BF1089" s="28"/>
      <c r="BG1089" s="28"/>
      <c r="BH1089" s="28"/>
      <c r="BI1089" s="28"/>
      <c r="BJ1089" s="28"/>
      <c r="BK1089" s="28"/>
      <c r="BL1089" s="28"/>
    </row>
    <row r="1090" spans="1:64" ht="12.75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28"/>
      <c r="T1090" s="28"/>
      <c r="U1090" s="28"/>
      <c r="V1090" s="28"/>
      <c r="W1090" s="28"/>
      <c r="X1090" s="28"/>
      <c r="Y1090" s="28"/>
      <c r="Z1090" s="28"/>
      <c r="AA1090" s="28"/>
      <c r="AB1090" s="28"/>
      <c r="AC1090" s="28"/>
      <c r="AD1090" s="28"/>
      <c r="AE1090" s="28"/>
      <c r="AF1090" s="28"/>
      <c r="AG1090" s="28"/>
      <c r="AH1090" s="28"/>
      <c r="AI1090" s="28"/>
      <c r="AJ1090" s="28"/>
      <c r="AK1090" s="28"/>
      <c r="AL1090" s="28"/>
      <c r="AM1090" s="28"/>
      <c r="AN1090" s="28"/>
      <c r="AO1090" s="28"/>
      <c r="AP1090" s="28"/>
      <c r="AQ1090" s="28"/>
      <c r="AR1090" s="28"/>
      <c r="AS1090" s="28"/>
      <c r="AT1090" s="28"/>
      <c r="AU1090" s="28"/>
      <c r="AV1090" s="28"/>
      <c r="AW1090" s="28"/>
      <c r="AX1090" s="28"/>
      <c r="AY1090" s="28"/>
      <c r="AZ1090" s="28"/>
      <c r="BA1090" s="28"/>
      <c r="BB1090" s="28"/>
      <c r="BC1090" s="28"/>
      <c r="BD1090" s="28"/>
      <c r="BE1090" s="28"/>
      <c r="BF1090" s="28"/>
      <c r="BG1090" s="28"/>
      <c r="BH1090" s="28"/>
      <c r="BI1090" s="28"/>
      <c r="BJ1090" s="28"/>
      <c r="BK1090" s="28"/>
      <c r="BL1090" s="28"/>
    </row>
    <row r="1091" spans="1:64" ht="12.75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  <c r="R1091" s="28"/>
      <c r="S1091" s="28"/>
      <c r="T1091" s="28"/>
      <c r="U1091" s="28"/>
      <c r="V1091" s="28"/>
      <c r="W1091" s="28"/>
      <c r="X1091" s="28"/>
      <c r="Y1091" s="28"/>
      <c r="Z1091" s="28"/>
      <c r="AA1091" s="28"/>
      <c r="AB1091" s="28"/>
      <c r="AC1091" s="28"/>
      <c r="AD1091" s="28"/>
      <c r="AE1091" s="28"/>
      <c r="AF1091" s="28"/>
      <c r="AG1091" s="28"/>
      <c r="AH1091" s="28"/>
      <c r="AI1091" s="28"/>
      <c r="AJ1091" s="28"/>
      <c r="AK1091" s="28"/>
      <c r="AL1091" s="28"/>
      <c r="AM1091" s="28"/>
      <c r="AN1091" s="28"/>
      <c r="AO1091" s="28"/>
      <c r="AP1091" s="28"/>
      <c r="AQ1091" s="28"/>
      <c r="AR1091" s="28"/>
      <c r="AS1091" s="28"/>
      <c r="AT1091" s="28"/>
      <c r="AU1091" s="28"/>
      <c r="AV1091" s="28"/>
      <c r="AW1091" s="28"/>
      <c r="AX1091" s="28"/>
      <c r="AY1091" s="28"/>
      <c r="AZ1091" s="28"/>
      <c r="BA1091" s="28"/>
      <c r="BB1091" s="28"/>
      <c r="BC1091" s="28"/>
      <c r="BD1091" s="28"/>
      <c r="BE1091" s="28"/>
      <c r="BF1091" s="28"/>
      <c r="BG1091" s="28"/>
      <c r="BH1091" s="28"/>
      <c r="BI1091" s="28"/>
      <c r="BJ1091" s="28"/>
      <c r="BK1091" s="28"/>
      <c r="BL1091" s="28"/>
    </row>
    <row r="1092" spans="1:64" ht="12.75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  <c r="R1092" s="28"/>
      <c r="S1092" s="28"/>
      <c r="T1092" s="28"/>
      <c r="U1092" s="28"/>
      <c r="V1092" s="28"/>
      <c r="W1092" s="28"/>
      <c r="X1092" s="28"/>
      <c r="Y1092" s="28"/>
      <c r="Z1092" s="28"/>
      <c r="AA1092" s="28"/>
      <c r="AB1092" s="28"/>
      <c r="AC1092" s="28"/>
      <c r="AD1092" s="28"/>
      <c r="AE1092" s="28"/>
      <c r="AF1092" s="28"/>
      <c r="AG1092" s="28"/>
      <c r="AH1092" s="28"/>
      <c r="AI1092" s="28"/>
      <c r="AJ1092" s="28"/>
      <c r="AK1092" s="28"/>
      <c r="AL1092" s="28"/>
      <c r="AM1092" s="28"/>
      <c r="AN1092" s="28"/>
      <c r="AO1092" s="28"/>
      <c r="AP1092" s="28"/>
      <c r="AQ1092" s="28"/>
      <c r="AR1092" s="28"/>
      <c r="AS1092" s="28"/>
      <c r="AT1092" s="28"/>
      <c r="AU1092" s="28"/>
      <c r="AV1092" s="28"/>
      <c r="AW1092" s="28"/>
      <c r="AX1092" s="28"/>
      <c r="AY1092" s="28"/>
      <c r="AZ1092" s="28"/>
      <c r="BA1092" s="28"/>
      <c r="BB1092" s="28"/>
      <c r="BC1092" s="28"/>
      <c r="BD1092" s="28"/>
      <c r="BE1092" s="28"/>
      <c r="BF1092" s="28"/>
      <c r="BG1092" s="28"/>
      <c r="BH1092" s="28"/>
      <c r="BI1092" s="28"/>
      <c r="BJ1092" s="28"/>
      <c r="BK1092" s="28"/>
      <c r="BL1092" s="28"/>
    </row>
    <row r="1093" spans="1:64" ht="12.75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  <c r="P1093" s="28"/>
      <c r="Q1093" s="28"/>
      <c r="R1093" s="28"/>
      <c r="S1093" s="28"/>
      <c r="T1093" s="28"/>
      <c r="U1093" s="28"/>
      <c r="V1093" s="28"/>
      <c r="W1093" s="28"/>
      <c r="X1093" s="28"/>
      <c r="Y1093" s="28"/>
      <c r="Z1093" s="28"/>
      <c r="AA1093" s="28"/>
      <c r="AB1093" s="28"/>
      <c r="AC1093" s="28"/>
      <c r="AD1093" s="28"/>
      <c r="AE1093" s="28"/>
      <c r="AF1093" s="28"/>
      <c r="AG1093" s="28"/>
      <c r="AH1093" s="28"/>
      <c r="AI1093" s="28"/>
      <c r="AJ1093" s="28"/>
      <c r="AK1093" s="28"/>
      <c r="AL1093" s="28"/>
      <c r="AM1093" s="28"/>
      <c r="AN1093" s="28"/>
      <c r="AO1093" s="28"/>
      <c r="AP1093" s="28"/>
      <c r="AQ1093" s="28"/>
      <c r="AR1093" s="28"/>
      <c r="AS1093" s="28"/>
      <c r="AT1093" s="28"/>
      <c r="AU1093" s="28"/>
      <c r="AV1093" s="28"/>
      <c r="AW1093" s="28"/>
      <c r="AX1093" s="28"/>
      <c r="AY1093" s="28"/>
      <c r="AZ1093" s="28"/>
      <c r="BA1093" s="28"/>
      <c r="BB1093" s="28"/>
      <c r="BC1093" s="28"/>
      <c r="BD1093" s="28"/>
      <c r="BE1093" s="28"/>
      <c r="BF1093" s="28"/>
      <c r="BG1093" s="28"/>
      <c r="BH1093" s="28"/>
      <c r="BI1093" s="28"/>
      <c r="BJ1093" s="28"/>
      <c r="BK1093" s="28"/>
      <c r="BL1093" s="28"/>
    </row>
    <row r="1094" spans="1:64" ht="12.75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28"/>
      <c r="L1094" s="28"/>
      <c r="M1094" s="28"/>
      <c r="N1094" s="28"/>
      <c r="O1094" s="28"/>
      <c r="P1094" s="28"/>
      <c r="Q1094" s="28"/>
      <c r="R1094" s="28"/>
      <c r="S1094" s="28"/>
      <c r="T1094" s="28"/>
      <c r="U1094" s="28"/>
      <c r="V1094" s="28"/>
      <c r="W1094" s="28"/>
      <c r="X1094" s="28"/>
      <c r="Y1094" s="28"/>
      <c r="Z1094" s="28"/>
      <c r="AA1094" s="28"/>
      <c r="AB1094" s="28"/>
      <c r="AC1094" s="28"/>
      <c r="AD1094" s="28"/>
      <c r="AE1094" s="28"/>
      <c r="AF1094" s="28"/>
      <c r="AG1094" s="28"/>
      <c r="AH1094" s="28"/>
      <c r="AI1094" s="28"/>
      <c r="AJ1094" s="28"/>
      <c r="AK1094" s="28"/>
      <c r="AL1094" s="28"/>
      <c r="AM1094" s="28"/>
      <c r="AN1094" s="28"/>
      <c r="AO1094" s="28"/>
      <c r="AP1094" s="28"/>
      <c r="AQ1094" s="28"/>
      <c r="AR1094" s="28"/>
      <c r="AS1094" s="28"/>
      <c r="AT1094" s="28"/>
      <c r="AU1094" s="28"/>
      <c r="AV1094" s="28"/>
      <c r="AW1094" s="28"/>
      <c r="AX1094" s="28"/>
      <c r="AY1094" s="28"/>
      <c r="AZ1094" s="28"/>
      <c r="BA1094" s="28"/>
      <c r="BB1094" s="28"/>
      <c r="BC1094" s="28"/>
      <c r="BD1094" s="28"/>
      <c r="BE1094" s="28"/>
      <c r="BF1094" s="28"/>
      <c r="BG1094" s="28"/>
      <c r="BH1094" s="28"/>
      <c r="BI1094" s="28"/>
      <c r="BJ1094" s="28"/>
      <c r="BK1094" s="28"/>
      <c r="BL1094" s="28"/>
    </row>
    <row r="1095" spans="1:64" ht="12.75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  <c r="P1095" s="28"/>
      <c r="Q1095" s="28"/>
      <c r="R1095" s="28"/>
      <c r="S1095" s="28"/>
      <c r="T1095" s="28"/>
      <c r="U1095" s="28"/>
      <c r="V1095" s="28"/>
      <c r="W1095" s="28"/>
      <c r="X1095" s="28"/>
      <c r="Y1095" s="28"/>
      <c r="Z1095" s="28"/>
      <c r="AA1095" s="28"/>
      <c r="AB1095" s="28"/>
      <c r="AC1095" s="28"/>
      <c r="AD1095" s="28"/>
      <c r="AE1095" s="28"/>
      <c r="AF1095" s="28"/>
      <c r="AG1095" s="28"/>
      <c r="AH1095" s="28"/>
      <c r="AI1095" s="28"/>
      <c r="AJ1095" s="28"/>
      <c r="AK1095" s="28"/>
      <c r="AL1095" s="28"/>
      <c r="AM1095" s="28"/>
      <c r="AN1095" s="28"/>
      <c r="AO1095" s="28"/>
      <c r="AP1095" s="28"/>
      <c r="AQ1095" s="28"/>
      <c r="AR1095" s="28"/>
      <c r="AS1095" s="28"/>
      <c r="AT1095" s="28"/>
      <c r="AU1095" s="28"/>
      <c r="AV1095" s="28"/>
      <c r="AW1095" s="28"/>
      <c r="AX1095" s="28"/>
      <c r="AY1095" s="28"/>
      <c r="AZ1095" s="28"/>
      <c r="BA1095" s="28"/>
      <c r="BB1095" s="28"/>
      <c r="BC1095" s="28"/>
      <c r="BD1095" s="28"/>
      <c r="BE1095" s="28"/>
      <c r="BF1095" s="28"/>
      <c r="BG1095" s="28"/>
      <c r="BH1095" s="28"/>
      <c r="BI1095" s="28"/>
      <c r="BJ1095" s="28"/>
      <c r="BK1095" s="28"/>
      <c r="BL1095" s="28"/>
    </row>
    <row r="1096" spans="1:64" ht="12.75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28"/>
      <c r="L1096" s="28"/>
      <c r="M1096" s="28"/>
      <c r="N1096" s="28"/>
      <c r="O1096" s="28"/>
      <c r="P1096" s="28"/>
      <c r="Q1096" s="28"/>
      <c r="R1096" s="28"/>
      <c r="S1096" s="28"/>
      <c r="T1096" s="28"/>
      <c r="U1096" s="28"/>
      <c r="V1096" s="28"/>
      <c r="W1096" s="28"/>
      <c r="X1096" s="28"/>
      <c r="Y1096" s="28"/>
      <c r="Z1096" s="28"/>
      <c r="AA1096" s="28"/>
      <c r="AB1096" s="28"/>
      <c r="AC1096" s="28"/>
      <c r="AD1096" s="28"/>
      <c r="AE1096" s="28"/>
      <c r="AF1096" s="28"/>
      <c r="AG1096" s="28"/>
      <c r="AH1096" s="28"/>
      <c r="AI1096" s="28"/>
      <c r="AJ1096" s="28"/>
      <c r="AK1096" s="28"/>
      <c r="AL1096" s="28"/>
      <c r="AM1096" s="28"/>
      <c r="AN1096" s="28"/>
      <c r="AO1096" s="28"/>
      <c r="AP1096" s="28"/>
      <c r="AQ1096" s="28"/>
      <c r="AR1096" s="28"/>
      <c r="AS1096" s="28"/>
      <c r="AT1096" s="28"/>
      <c r="AU1096" s="28"/>
      <c r="AV1096" s="28"/>
      <c r="AW1096" s="28"/>
      <c r="AX1096" s="28"/>
      <c r="AY1096" s="28"/>
      <c r="AZ1096" s="28"/>
      <c r="BA1096" s="28"/>
      <c r="BB1096" s="28"/>
      <c r="BC1096" s="28"/>
      <c r="BD1096" s="28"/>
      <c r="BE1096" s="28"/>
      <c r="BF1096" s="28"/>
      <c r="BG1096" s="28"/>
      <c r="BH1096" s="28"/>
      <c r="BI1096" s="28"/>
      <c r="BJ1096" s="28"/>
      <c r="BK1096" s="28"/>
      <c r="BL1096" s="28"/>
    </row>
    <row r="1097" spans="1:64" ht="12.75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28"/>
      <c r="L1097" s="28"/>
      <c r="M1097" s="28"/>
      <c r="N1097" s="28"/>
      <c r="O1097" s="28"/>
      <c r="P1097" s="28"/>
      <c r="Q1097" s="28"/>
      <c r="R1097" s="28"/>
      <c r="S1097" s="28"/>
      <c r="T1097" s="28"/>
      <c r="U1097" s="28"/>
      <c r="V1097" s="28"/>
      <c r="W1097" s="28"/>
      <c r="X1097" s="28"/>
      <c r="Y1097" s="28"/>
      <c r="Z1097" s="28"/>
      <c r="AA1097" s="28"/>
      <c r="AB1097" s="28"/>
      <c r="AC1097" s="28"/>
      <c r="AD1097" s="28"/>
      <c r="AE1097" s="28"/>
      <c r="AF1097" s="28"/>
      <c r="AG1097" s="28"/>
      <c r="AH1097" s="28"/>
      <c r="AI1097" s="28"/>
      <c r="AJ1097" s="28"/>
      <c r="AK1097" s="28"/>
      <c r="AL1097" s="28"/>
      <c r="AM1097" s="28"/>
      <c r="AN1097" s="28"/>
      <c r="AO1097" s="28"/>
      <c r="AP1097" s="28"/>
      <c r="AQ1097" s="28"/>
      <c r="AR1097" s="28"/>
      <c r="AS1097" s="28"/>
      <c r="AT1097" s="28"/>
      <c r="AU1097" s="28"/>
      <c r="AV1097" s="28"/>
      <c r="AW1097" s="28"/>
      <c r="AX1097" s="28"/>
      <c r="AY1097" s="28"/>
      <c r="AZ1097" s="28"/>
      <c r="BA1097" s="28"/>
      <c r="BB1097" s="28"/>
      <c r="BC1097" s="28"/>
      <c r="BD1097" s="28"/>
      <c r="BE1097" s="28"/>
      <c r="BF1097" s="28"/>
      <c r="BG1097" s="28"/>
      <c r="BH1097" s="28"/>
      <c r="BI1097" s="28"/>
      <c r="BJ1097" s="28"/>
      <c r="BK1097" s="28"/>
      <c r="BL1097" s="28"/>
    </row>
    <row r="1098" spans="1:64" ht="12.75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  <c r="R1098" s="28"/>
      <c r="S1098" s="28"/>
      <c r="T1098" s="28"/>
      <c r="U1098" s="28"/>
      <c r="V1098" s="28"/>
      <c r="W1098" s="28"/>
      <c r="X1098" s="28"/>
      <c r="Y1098" s="28"/>
      <c r="Z1098" s="28"/>
      <c r="AA1098" s="28"/>
      <c r="AB1098" s="28"/>
      <c r="AC1098" s="28"/>
      <c r="AD1098" s="28"/>
      <c r="AE1098" s="28"/>
      <c r="AF1098" s="28"/>
      <c r="AG1098" s="28"/>
      <c r="AH1098" s="28"/>
      <c r="AI1098" s="28"/>
      <c r="AJ1098" s="28"/>
      <c r="AK1098" s="28"/>
      <c r="AL1098" s="28"/>
      <c r="AM1098" s="28"/>
      <c r="AN1098" s="28"/>
      <c r="AO1098" s="28"/>
      <c r="AP1098" s="28"/>
      <c r="AQ1098" s="28"/>
      <c r="AR1098" s="28"/>
      <c r="AS1098" s="28"/>
      <c r="AT1098" s="28"/>
      <c r="AU1098" s="28"/>
      <c r="AV1098" s="28"/>
      <c r="AW1098" s="28"/>
      <c r="AX1098" s="28"/>
      <c r="AY1098" s="28"/>
      <c r="AZ1098" s="28"/>
      <c r="BA1098" s="28"/>
      <c r="BB1098" s="28"/>
      <c r="BC1098" s="28"/>
      <c r="BD1098" s="28"/>
      <c r="BE1098" s="28"/>
      <c r="BF1098" s="28"/>
      <c r="BG1098" s="28"/>
      <c r="BH1098" s="28"/>
      <c r="BI1098" s="28"/>
      <c r="BJ1098" s="28"/>
      <c r="BK1098" s="28"/>
      <c r="BL1098" s="28"/>
    </row>
    <row r="1099" spans="1:64" ht="12.75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  <c r="P1099" s="28"/>
      <c r="Q1099" s="28"/>
      <c r="R1099" s="28"/>
      <c r="S1099" s="28"/>
      <c r="T1099" s="28"/>
      <c r="U1099" s="28"/>
      <c r="V1099" s="28"/>
      <c r="W1099" s="28"/>
      <c r="X1099" s="28"/>
      <c r="Y1099" s="28"/>
      <c r="Z1099" s="28"/>
      <c r="AA1099" s="28"/>
      <c r="AB1099" s="28"/>
      <c r="AC1099" s="28"/>
      <c r="AD1099" s="28"/>
      <c r="AE1099" s="28"/>
      <c r="AF1099" s="28"/>
      <c r="AG1099" s="28"/>
      <c r="AH1099" s="28"/>
      <c r="AI1099" s="28"/>
      <c r="AJ1099" s="28"/>
      <c r="AK1099" s="28"/>
      <c r="AL1099" s="28"/>
      <c r="AM1099" s="28"/>
      <c r="AN1099" s="28"/>
      <c r="AO1099" s="28"/>
      <c r="AP1099" s="28"/>
      <c r="AQ1099" s="28"/>
      <c r="AR1099" s="28"/>
      <c r="AS1099" s="28"/>
      <c r="AT1099" s="28"/>
      <c r="AU1099" s="28"/>
      <c r="AV1099" s="28"/>
      <c r="AW1099" s="28"/>
      <c r="AX1099" s="28"/>
      <c r="AY1099" s="28"/>
      <c r="AZ1099" s="28"/>
      <c r="BA1099" s="28"/>
      <c r="BB1099" s="28"/>
      <c r="BC1099" s="28"/>
      <c r="BD1099" s="28"/>
      <c r="BE1099" s="28"/>
      <c r="BF1099" s="28"/>
      <c r="BG1099" s="28"/>
      <c r="BH1099" s="28"/>
      <c r="BI1099" s="28"/>
      <c r="BJ1099" s="28"/>
      <c r="BK1099" s="28"/>
      <c r="BL1099" s="28"/>
    </row>
    <row r="1100" spans="1:64" ht="12.75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/>
      <c r="Q1100" s="28"/>
      <c r="R1100" s="28"/>
      <c r="S1100" s="28"/>
      <c r="T1100" s="28"/>
      <c r="U1100" s="28"/>
      <c r="V1100" s="28"/>
      <c r="W1100" s="28"/>
      <c r="X1100" s="28"/>
      <c r="Y1100" s="28"/>
      <c r="Z1100" s="28"/>
      <c r="AA1100" s="28"/>
      <c r="AB1100" s="28"/>
      <c r="AC1100" s="28"/>
      <c r="AD1100" s="28"/>
      <c r="AE1100" s="28"/>
      <c r="AF1100" s="28"/>
      <c r="AG1100" s="28"/>
      <c r="AH1100" s="28"/>
      <c r="AI1100" s="28"/>
      <c r="AJ1100" s="28"/>
      <c r="AK1100" s="28"/>
      <c r="AL1100" s="28"/>
      <c r="AM1100" s="28"/>
      <c r="AN1100" s="28"/>
      <c r="AO1100" s="28"/>
      <c r="AP1100" s="28"/>
      <c r="AQ1100" s="28"/>
      <c r="AR1100" s="28"/>
      <c r="AS1100" s="28"/>
      <c r="AT1100" s="28"/>
      <c r="AU1100" s="28"/>
      <c r="AV1100" s="28"/>
      <c r="AW1100" s="28"/>
      <c r="AX1100" s="28"/>
      <c r="AY1100" s="28"/>
      <c r="AZ1100" s="28"/>
      <c r="BA1100" s="28"/>
      <c r="BB1100" s="28"/>
      <c r="BC1100" s="28"/>
      <c r="BD1100" s="28"/>
      <c r="BE1100" s="28"/>
      <c r="BF1100" s="28"/>
      <c r="BG1100" s="28"/>
      <c r="BH1100" s="28"/>
      <c r="BI1100" s="28"/>
      <c r="BJ1100" s="28"/>
      <c r="BK1100" s="28"/>
      <c r="BL1100" s="28"/>
    </row>
    <row r="1101" spans="1:64" ht="12.75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28"/>
      <c r="Q1101" s="28"/>
      <c r="R1101" s="28"/>
      <c r="S1101" s="28"/>
      <c r="T1101" s="28"/>
      <c r="U1101" s="28"/>
      <c r="V1101" s="28"/>
      <c r="W1101" s="28"/>
      <c r="X1101" s="28"/>
      <c r="Y1101" s="28"/>
      <c r="Z1101" s="28"/>
      <c r="AA1101" s="28"/>
      <c r="AB1101" s="28"/>
      <c r="AC1101" s="28"/>
      <c r="AD1101" s="28"/>
      <c r="AE1101" s="28"/>
      <c r="AF1101" s="28"/>
      <c r="AG1101" s="28"/>
      <c r="AH1101" s="28"/>
      <c r="AI1101" s="28"/>
      <c r="AJ1101" s="28"/>
      <c r="AK1101" s="28"/>
      <c r="AL1101" s="28"/>
      <c r="AM1101" s="28"/>
      <c r="AN1101" s="28"/>
      <c r="AO1101" s="28"/>
      <c r="AP1101" s="28"/>
      <c r="AQ1101" s="28"/>
      <c r="AR1101" s="28"/>
      <c r="AS1101" s="28"/>
      <c r="AT1101" s="28"/>
      <c r="AU1101" s="28"/>
      <c r="AV1101" s="28"/>
      <c r="AW1101" s="28"/>
      <c r="AX1101" s="28"/>
      <c r="AY1101" s="28"/>
      <c r="AZ1101" s="28"/>
      <c r="BA1101" s="28"/>
      <c r="BB1101" s="28"/>
      <c r="BC1101" s="28"/>
      <c r="BD1101" s="28"/>
      <c r="BE1101" s="28"/>
      <c r="BF1101" s="28"/>
      <c r="BG1101" s="28"/>
      <c r="BH1101" s="28"/>
      <c r="BI1101" s="28"/>
      <c r="BJ1101" s="28"/>
      <c r="BK1101" s="28"/>
      <c r="BL1101" s="28"/>
    </row>
    <row r="1102" spans="1:64" ht="12.75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  <c r="P1102" s="28"/>
      <c r="Q1102" s="28"/>
      <c r="R1102" s="28"/>
      <c r="S1102" s="28"/>
      <c r="T1102" s="28"/>
      <c r="U1102" s="28"/>
      <c r="V1102" s="28"/>
      <c r="W1102" s="28"/>
      <c r="X1102" s="28"/>
      <c r="Y1102" s="28"/>
      <c r="Z1102" s="28"/>
      <c r="AA1102" s="28"/>
      <c r="AB1102" s="28"/>
      <c r="AC1102" s="28"/>
      <c r="AD1102" s="28"/>
      <c r="AE1102" s="28"/>
      <c r="AF1102" s="28"/>
      <c r="AG1102" s="28"/>
      <c r="AH1102" s="28"/>
      <c r="AI1102" s="28"/>
      <c r="AJ1102" s="28"/>
      <c r="AK1102" s="28"/>
      <c r="AL1102" s="28"/>
      <c r="AM1102" s="28"/>
      <c r="AN1102" s="28"/>
      <c r="AO1102" s="28"/>
      <c r="AP1102" s="28"/>
      <c r="AQ1102" s="28"/>
      <c r="AR1102" s="28"/>
      <c r="AS1102" s="28"/>
      <c r="AT1102" s="28"/>
      <c r="AU1102" s="28"/>
      <c r="AV1102" s="28"/>
      <c r="AW1102" s="28"/>
      <c r="AX1102" s="28"/>
      <c r="AY1102" s="28"/>
      <c r="AZ1102" s="28"/>
      <c r="BA1102" s="28"/>
      <c r="BB1102" s="28"/>
      <c r="BC1102" s="28"/>
      <c r="BD1102" s="28"/>
      <c r="BE1102" s="28"/>
      <c r="BF1102" s="28"/>
      <c r="BG1102" s="28"/>
      <c r="BH1102" s="28"/>
      <c r="BI1102" s="28"/>
      <c r="BJ1102" s="28"/>
      <c r="BK1102" s="28"/>
      <c r="BL1102" s="28"/>
    </row>
    <row r="1103" spans="1:64" ht="12.75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28"/>
      <c r="Z1103" s="28"/>
      <c r="AA1103" s="28"/>
      <c r="AB1103" s="28"/>
      <c r="AC1103" s="28"/>
      <c r="AD1103" s="28"/>
      <c r="AE1103" s="28"/>
      <c r="AF1103" s="28"/>
      <c r="AG1103" s="28"/>
      <c r="AH1103" s="28"/>
      <c r="AI1103" s="28"/>
      <c r="AJ1103" s="28"/>
      <c r="AK1103" s="28"/>
      <c r="AL1103" s="28"/>
      <c r="AM1103" s="28"/>
      <c r="AN1103" s="28"/>
      <c r="AO1103" s="28"/>
      <c r="AP1103" s="28"/>
      <c r="AQ1103" s="28"/>
      <c r="AR1103" s="28"/>
      <c r="AS1103" s="28"/>
      <c r="AT1103" s="28"/>
      <c r="AU1103" s="28"/>
      <c r="AV1103" s="28"/>
      <c r="AW1103" s="28"/>
      <c r="AX1103" s="28"/>
      <c r="AY1103" s="28"/>
      <c r="AZ1103" s="28"/>
      <c r="BA1103" s="28"/>
      <c r="BB1103" s="28"/>
      <c r="BC1103" s="28"/>
      <c r="BD1103" s="28"/>
      <c r="BE1103" s="28"/>
      <c r="BF1103" s="28"/>
      <c r="BG1103" s="28"/>
      <c r="BH1103" s="28"/>
      <c r="BI1103" s="28"/>
      <c r="BJ1103" s="28"/>
      <c r="BK1103" s="28"/>
      <c r="BL1103" s="28"/>
    </row>
    <row r="1104" spans="1:64" ht="12.75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  <c r="P1104" s="28"/>
      <c r="Q1104" s="28"/>
      <c r="R1104" s="28"/>
      <c r="S1104" s="28"/>
      <c r="T1104" s="28"/>
      <c r="U1104" s="28"/>
      <c r="V1104" s="28"/>
      <c r="W1104" s="28"/>
      <c r="X1104" s="28"/>
      <c r="Y1104" s="28"/>
      <c r="Z1104" s="28"/>
      <c r="AA1104" s="28"/>
      <c r="AB1104" s="28"/>
      <c r="AC1104" s="28"/>
      <c r="AD1104" s="28"/>
      <c r="AE1104" s="28"/>
      <c r="AF1104" s="28"/>
      <c r="AG1104" s="28"/>
      <c r="AH1104" s="28"/>
      <c r="AI1104" s="28"/>
      <c r="AJ1104" s="28"/>
      <c r="AK1104" s="28"/>
      <c r="AL1104" s="28"/>
      <c r="AM1104" s="28"/>
      <c r="AN1104" s="28"/>
      <c r="AO1104" s="28"/>
      <c r="AP1104" s="28"/>
      <c r="AQ1104" s="28"/>
      <c r="AR1104" s="28"/>
      <c r="AS1104" s="28"/>
      <c r="AT1104" s="28"/>
      <c r="AU1104" s="28"/>
      <c r="AV1104" s="28"/>
      <c r="AW1104" s="28"/>
      <c r="AX1104" s="28"/>
      <c r="AY1104" s="28"/>
      <c r="AZ1104" s="28"/>
      <c r="BA1104" s="28"/>
      <c r="BB1104" s="28"/>
      <c r="BC1104" s="28"/>
      <c r="BD1104" s="28"/>
      <c r="BE1104" s="28"/>
      <c r="BF1104" s="28"/>
      <c r="BG1104" s="28"/>
      <c r="BH1104" s="28"/>
      <c r="BI1104" s="28"/>
      <c r="BJ1104" s="28"/>
      <c r="BK1104" s="28"/>
      <c r="BL1104" s="28"/>
    </row>
    <row r="1105" spans="1:64" ht="12.75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28"/>
      <c r="Q1105" s="28"/>
      <c r="R1105" s="28"/>
      <c r="S1105" s="28"/>
      <c r="T1105" s="28"/>
      <c r="U1105" s="28"/>
      <c r="V1105" s="28"/>
      <c r="W1105" s="28"/>
      <c r="X1105" s="28"/>
      <c r="Y1105" s="28"/>
      <c r="Z1105" s="28"/>
      <c r="AA1105" s="28"/>
      <c r="AB1105" s="28"/>
      <c r="AC1105" s="28"/>
      <c r="AD1105" s="28"/>
      <c r="AE1105" s="28"/>
      <c r="AF1105" s="28"/>
      <c r="AG1105" s="28"/>
      <c r="AH1105" s="28"/>
      <c r="AI1105" s="28"/>
      <c r="AJ1105" s="28"/>
      <c r="AK1105" s="28"/>
      <c r="AL1105" s="28"/>
      <c r="AM1105" s="28"/>
      <c r="AN1105" s="28"/>
      <c r="AO1105" s="28"/>
      <c r="AP1105" s="28"/>
      <c r="AQ1105" s="28"/>
      <c r="AR1105" s="28"/>
      <c r="AS1105" s="28"/>
      <c r="AT1105" s="28"/>
      <c r="AU1105" s="28"/>
      <c r="AV1105" s="28"/>
      <c r="AW1105" s="28"/>
      <c r="AX1105" s="28"/>
      <c r="AY1105" s="28"/>
      <c r="AZ1105" s="28"/>
      <c r="BA1105" s="28"/>
      <c r="BB1105" s="28"/>
      <c r="BC1105" s="28"/>
      <c r="BD1105" s="28"/>
      <c r="BE1105" s="28"/>
      <c r="BF1105" s="28"/>
      <c r="BG1105" s="28"/>
      <c r="BH1105" s="28"/>
      <c r="BI1105" s="28"/>
      <c r="BJ1105" s="28"/>
      <c r="BK1105" s="28"/>
      <c r="BL1105" s="28"/>
    </row>
    <row r="1106" spans="1:64" ht="12.75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  <c r="P1106" s="28"/>
      <c r="Q1106" s="28"/>
      <c r="R1106" s="28"/>
      <c r="S1106" s="28"/>
      <c r="T1106" s="28"/>
      <c r="U1106" s="28"/>
      <c r="V1106" s="28"/>
      <c r="W1106" s="28"/>
      <c r="X1106" s="28"/>
      <c r="Y1106" s="28"/>
      <c r="Z1106" s="28"/>
      <c r="AA1106" s="28"/>
      <c r="AB1106" s="28"/>
      <c r="AC1106" s="28"/>
      <c r="AD1106" s="28"/>
      <c r="AE1106" s="28"/>
      <c r="AF1106" s="28"/>
      <c r="AG1106" s="28"/>
      <c r="AH1106" s="28"/>
      <c r="AI1106" s="28"/>
      <c r="AJ1106" s="28"/>
      <c r="AK1106" s="28"/>
      <c r="AL1106" s="28"/>
      <c r="AM1106" s="28"/>
      <c r="AN1106" s="28"/>
      <c r="AO1106" s="28"/>
      <c r="AP1106" s="28"/>
      <c r="AQ1106" s="28"/>
      <c r="AR1106" s="28"/>
      <c r="AS1106" s="28"/>
      <c r="AT1106" s="28"/>
      <c r="AU1106" s="28"/>
      <c r="AV1106" s="28"/>
      <c r="AW1106" s="28"/>
      <c r="AX1106" s="28"/>
      <c r="AY1106" s="28"/>
      <c r="AZ1106" s="28"/>
      <c r="BA1106" s="28"/>
      <c r="BB1106" s="28"/>
      <c r="BC1106" s="28"/>
      <c r="BD1106" s="28"/>
      <c r="BE1106" s="28"/>
      <c r="BF1106" s="28"/>
      <c r="BG1106" s="28"/>
      <c r="BH1106" s="28"/>
      <c r="BI1106" s="28"/>
      <c r="BJ1106" s="28"/>
      <c r="BK1106" s="28"/>
      <c r="BL1106" s="28"/>
    </row>
    <row r="1107" spans="1:64" ht="12.75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28"/>
      <c r="L1107" s="28"/>
      <c r="M1107" s="28"/>
      <c r="N1107" s="28"/>
      <c r="O1107" s="28"/>
      <c r="P1107" s="28"/>
      <c r="Q1107" s="28"/>
      <c r="R1107" s="28"/>
      <c r="S1107" s="28"/>
      <c r="T1107" s="28"/>
      <c r="U1107" s="28"/>
      <c r="V1107" s="28"/>
      <c r="W1107" s="28"/>
      <c r="X1107" s="28"/>
      <c r="Y1107" s="28"/>
      <c r="Z1107" s="28"/>
      <c r="AA1107" s="28"/>
      <c r="AB1107" s="28"/>
      <c r="AC1107" s="28"/>
      <c r="AD1107" s="28"/>
      <c r="AE1107" s="28"/>
      <c r="AF1107" s="28"/>
      <c r="AG1107" s="28"/>
      <c r="AH1107" s="28"/>
      <c r="AI1107" s="28"/>
      <c r="AJ1107" s="28"/>
      <c r="AK1107" s="28"/>
      <c r="AL1107" s="28"/>
      <c r="AM1107" s="28"/>
      <c r="AN1107" s="28"/>
      <c r="AO1107" s="28"/>
      <c r="AP1107" s="28"/>
      <c r="AQ1107" s="28"/>
      <c r="AR1107" s="28"/>
      <c r="AS1107" s="28"/>
      <c r="AT1107" s="28"/>
      <c r="AU1107" s="28"/>
      <c r="AV1107" s="28"/>
      <c r="AW1107" s="28"/>
      <c r="AX1107" s="28"/>
      <c r="AY1107" s="28"/>
      <c r="AZ1107" s="28"/>
      <c r="BA1107" s="28"/>
      <c r="BB1107" s="28"/>
      <c r="BC1107" s="28"/>
      <c r="BD1107" s="28"/>
      <c r="BE1107" s="28"/>
      <c r="BF1107" s="28"/>
      <c r="BG1107" s="28"/>
      <c r="BH1107" s="28"/>
      <c r="BI1107" s="28"/>
      <c r="BJ1107" s="28"/>
      <c r="BK1107" s="28"/>
      <c r="BL1107" s="28"/>
    </row>
    <row r="1108" spans="1:64" ht="12.75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28"/>
      <c r="L1108" s="28"/>
      <c r="M1108" s="28"/>
      <c r="N1108" s="28"/>
      <c r="O1108" s="28"/>
      <c r="P1108" s="28"/>
      <c r="Q1108" s="28"/>
      <c r="R1108" s="28"/>
      <c r="S1108" s="28"/>
      <c r="T1108" s="28"/>
      <c r="U1108" s="28"/>
      <c r="V1108" s="28"/>
      <c r="W1108" s="28"/>
      <c r="X1108" s="28"/>
      <c r="Y1108" s="28"/>
      <c r="Z1108" s="28"/>
      <c r="AA1108" s="28"/>
      <c r="AB1108" s="28"/>
      <c r="AC1108" s="28"/>
      <c r="AD1108" s="28"/>
      <c r="AE1108" s="28"/>
      <c r="AF1108" s="28"/>
      <c r="AG1108" s="28"/>
      <c r="AH1108" s="28"/>
      <c r="AI1108" s="28"/>
      <c r="AJ1108" s="28"/>
      <c r="AK1108" s="28"/>
      <c r="AL1108" s="28"/>
      <c r="AM1108" s="28"/>
      <c r="AN1108" s="28"/>
      <c r="AO1108" s="28"/>
      <c r="AP1108" s="28"/>
      <c r="AQ1108" s="28"/>
      <c r="AR1108" s="28"/>
      <c r="AS1108" s="28"/>
      <c r="AT1108" s="28"/>
      <c r="AU1108" s="28"/>
      <c r="AV1108" s="28"/>
      <c r="AW1108" s="28"/>
      <c r="AX1108" s="28"/>
      <c r="AY1108" s="28"/>
      <c r="AZ1108" s="28"/>
      <c r="BA1108" s="28"/>
      <c r="BB1108" s="28"/>
      <c r="BC1108" s="28"/>
      <c r="BD1108" s="28"/>
      <c r="BE1108" s="28"/>
      <c r="BF1108" s="28"/>
      <c r="BG1108" s="28"/>
      <c r="BH1108" s="28"/>
      <c r="BI1108" s="28"/>
      <c r="BJ1108" s="28"/>
      <c r="BK1108" s="28"/>
      <c r="BL1108" s="28"/>
    </row>
    <row r="1109" spans="1:64" ht="12.75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  <c r="R1109" s="28"/>
      <c r="S1109" s="28"/>
      <c r="T1109" s="28"/>
      <c r="U1109" s="28"/>
      <c r="V1109" s="28"/>
      <c r="W1109" s="28"/>
      <c r="X1109" s="28"/>
      <c r="Y1109" s="28"/>
      <c r="Z1109" s="28"/>
      <c r="AA1109" s="28"/>
      <c r="AB1109" s="28"/>
      <c r="AC1109" s="28"/>
      <c r="AD1109" s="28"/>
      <c r="AE1109" s="28"/>
      <c r="AF1109" s="28"/>
      <c r="AG1109" s="28"/>
      <c r="AH1109" s="28"/>
      <c r="AI1109" s="28"/>
      <c r="AJ1109" s="28"/>
      <c r="AK1109" s="28"/>
      <c r="AL1109" s="28"/>
      <c r="AM1109" s="28"/>
      <c r="AN1109" s="28"/>
      <c r="AO1109" s="28"/>
      <c r="AP1109" s="28"/>
      <c r="AQ1109" s="28"/>
      <c r="AR1109" s="28"/>
      <c r="AS1109" s="28"/>
      <c r="AT1109" s="28"/>
      <c r="AU1109" s="28"/>
      <c r="AV1109" s="28"/>
      <c r="AW1109" s="28"/>
      <c r="AX1109" s="28"/>
      <c r="AY1109" s="28"/>
      <c r="AZ1109" s="28"/>
      <c r="BA1109" s="28"/>
      <c r="BB1109" s="28"/>
      <c r="BC1109" s="28"/>
      <c r="BD1109" s="28"/>
      <c r="BE1109" s="28"/>
      <c r="BF1109" s="28"/>
      <c r="BG1109" s="28"/>
      <c r="BH1109" s="28"/>
      <c r="BI1109" s="28"/>
      <c r="BJ1109" s="28"/>
      <c r="BK1109" s="28"/>
      <c r="BL1109" s="28"/>
    </row>
    <row r="1110" spans="1:64" ht="12.75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  <c r="P1110" s="28"/>
      <c r="Q1110" s="28"/>
      <c r="R1110" s="28"/>
      <c r="S1110" s="28"/>
      <c r="T1110" s="28"/>
      <c r="U1110" s="28"/>
      <c r="V1110" s="28"/>
      <c r="W1110" s="28"/>
      <c r="X1110" s="28"/>
      <c r="Y1110" s="28"/>
      <c r="Z1110" s="28"/>
      <c r="AA1110" s="28"/>
      <c r="AB1110" s="28"/>
      <c r="AC1110" s="28"/>
      <c r="AD1110" s="28"/>
      <c r="AE1110" s="28"/>
      <c r="AF1110" s="28"/>
      <c r="AG1110" s="28"/>
      <c r="AH1110" s="28"/>
      <c r="AI1110" s="28"/>
      <c r="AJ1110" s="28"/>
      <c r="AK1110" s="28"/>
      <c r="AL1110" s="28"/>
      <c r="AM1110" s="28"/>
      <c r="AN1110" s="28"/>
      <c r="AO1110" s="28"/>
      <c r="AP1110" s="28"/>
      <c r="AQ1110" s="28"/>
      <c r="AR1110" s="28"/>
      <c r="AS1110" s="28"/>
      <c r="AT1110" s="28"/>
      <c r="AU1110" s="28"/>
      <c r="AV1110" s="28"/>
      <c r="AW1110" s="28"/>
      <c r="AX1110" s="28"/>
      <c r="AY1110" s="28"/>
      <c r="AZ1110" s="28"/>
      <c r="BA1110" s="28"/>
      <c r="BB1110" s="28"/>
      <c r="BC1110" s="28"/>
      <c r="BD1110" s="28"/>
      <c r="BE1110" s="28"/>
      <c r="BF1110" s="28"/>
      <c r="BG1110" s="28"/>
      <c r="BH1110" s="28"/>
      <c r="BI1110" s="28"/>
      <c r="BJ1110" s="28"/>
      <c r="BK1110" s="28"/>
      <c r="BL1110" s="28"/>
    </row>
    <row r="1111" spans="1:64" ht="12.75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/>
      <c r="Q1111" s="28"/>
      <c r="R1111" s="28"/>
      <c r="S1111" s="28"/>
      <c r="T1111" s="28"/>
      <c r="U1111" s="28"/>
      <c r="V1111" s="28"/>
      <c r="W1111" s="28"/>
      <c r="X1111" s="28"/>
      <c r="Y1111" s="28"/>
      <c r="Z1111" s="28"/>
      <c r="AA1111" s="28"/>
      <c r="AB1111" s="28"/>
      <c r="AC1111" s="28"/>
      <c r="AD1111" s="28"/>
      <c r="AE1111" s="28"/>
      <c r="AF1111" s="28"/>
      <c r="AG1111" s="28"/>
      <c r="AH1111" s="28"/>
      <c r="AI1111" s="28"/>
      <c r="AJ1111" s="28"/>
      <c r="AK1111" s="28"/>
      <c r="AL1111" s="28"/>
      <c r="AM1111" s="28"/>
      <c r="AN1111" s="28"/>
      <c r="AO1111" s="28"/>
      <c r="AP1111" s="28"/>
      <c r="AQ1111" s="28"/>
      <c r="AR1111" s="28"/>
      <c r="AS1111" s="28"/>
      <c r="AT1111" s="28"/>
      <c r="AU1111" s="28"/>
      <c r="AV1111" s="28"/>
      <c r="AW1111" s="28"/>
      <c r="AX1111" s="28"/>
      <c r="AY1111" s="28"/>
      <c r="AZ1111" s="28"/>
      <c r="BA1111" s="28"/>
      <c r="BB1111" s="28"/>
      <c r="BC1111" s="28"/>
      <c r="BD1111" s="28"/>
      <c r="BE1111" s="28"/>
      <c r="BF1111" s="28"/>
      <c r="BG1111" s="28"/>
      <c r="BH1111" s="28"/>
      <c r="BI1111" s="28"/>
      <c r="BJ1111" s="28"/>
      <c r="BK1111" s="28"/>
      <c r="BL1111" s="28"/>
    </row>
    <row r="1112" spans="1:64" ht="12.75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  <c r="P1112" s="28"/>
      <c r="Q1112" s="28"/>
      <c r="R1112" s="28"/>
      <c r="S1112" s="28"/>
      <c r="T1112" s="28"/>
      <c r="U1112" s="28"/>
      <c r="V1112" s="28"/>
      <c r="W1112" s="28"/>
      <c r="X1112" s="28"/>
      <c r="Y1112" s="28"/>
      <c r="Z1112" s="28"/>
      <c r="AA1112" s="28"/>
      <c r="AB1112" s="28"/>
      <c r="AC1112" s="28"/>
      <c r="AD1112" s="28"/>
      <c r="AE1112" s="28"/>
      <c r="AF1112" s="28"/>
      <c r="AG1112" s="28"/>
      <c r="AH1112" s="28"/>
      <c r="AI1112" s="28"/>
      <c r="AJ1112" s="28"/>
      <c r="AK1112" s="28"/>
      <c r="AL1112" s="28"/>
      <c r="AM1112" s="28"/>
      <c r="AN1112" s="28"/>
      <c r="AO1112" s="28"/>
      <c r="AP1112" s="28"/>
      <c r="AQ1112" s="28"/>
      <c r="AR1112" s="28"/>
      <c r="AS1112" s="28"/>
      <c r="AT1112" s="28"/>
      <c r="AU1112" s="28"/>
      <c r="AV1112" s="28"/>
      <c r="AW1112" s="28"/>
      <c r="AX1112" s="28"/>
      <c r="AY1112" s="28"/>
      <c r="AZ1112" s="28"/>
      <c r="BA1112" s="28"/>
      <c r="BB1112" s="28"/>
      <c r="BC1112" s="28"/>
      <c r="BD1112" s="28"/>
      <c r="BE1112" s="28"/>
      <c r="BF1112" s="28"/>
      <c r="BG1112" s="28"/>
      <c r="BH1112" s="28"/>
      <c r="BI1112" s="28"/>
      <c r="BJ1112" s="28"/>
      <c r="BK1112" s="28"/>
      <c r="BL1112" s="28"/>
    </row>
    <row r="1113" spans="1:64" ht="12.75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  <c r="P1113" s="28"/>
      <c r="Q1113" s="28"/>
      <c r="R1113" s="28"/>
      <c r="S1113" s="28"/>
      <c r="T1113" s="28"/>
      <c r="U1113" s="28"/>
      <c r="V1113" s="28"/>
      <c r="W1113" s="28"/>
      <c r="X1113" s="28"/>
      <c r="Y1113" s="28"/>
      <c r="Z1113" s="28"/>
      <c r="AA1113" s="28"/>
      <c r="AB1113" s="28"/>
      <c r="AC1113" s="28"/>
      <c r="AD1113" s="28"/>
      <c r="AE1113" s="28"/>
      <c r="AF1113" s="28"/>
      <c r="AG1113" s="28"/>
      <c r="AH1113" s="28"/>
      <c r="AI1113" s="28"/>
      <c r="AJ1113" s="28"/>
      <c r="AK1113" s="28"/>
      <c r="AL1113" s="28"/>
      <c r="AM1113" s="28"/>
      <c r="AN1113" s="28"/>
      <c r="AO1113" s="28"/>
      <c r="AP1113" s="28"/>
      <c r="AQ1113" s="28"/>
      <c r="AR1113" s="28"/>
      <c r="AS1113" s="28"/>
      <c r="AT1113" s="28"/>
      <c r="AU1113" s="28"/>
      <c r="AV1113" s="28"/>
      <c r="AW1113" s="28"/>
      <c r="AX1113" s="28"/>
      <c r="AY1113" s="28"/>
      <c r="AZ1113" s="28"/>
      <c r="BA1113" s="28"/>
      <c r="BB1113" s="28"/>
      <c r="BC1113" s="28"/>
      <c r="BD1113" s="28"/>
      <c r="BE1113" s="28"/>
      <c r="BF1113" s="28"/>
      <c r="BG1113" s="28"/>
      <c r="BH1113" s="28"/>
      <c r="BI1113" s="28"/>
      <c r="BJ1113" s="28"/>
      <c r="BK1113" s="28"/>
      <c r="BL1113" s="28"/>
    </row>
    <row r="1114" spans="1:64" ht="12.75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28"/>
      <c r="L1114" s="28"/>
      <c r="M1114" s="28"/>
      <c r="N1114" s="28"/>
      <c r="O1114" s="28"/>
      <c r="P1114" s="28"/>
      <c r="Q1114" s="28"/>
      <c r="R1114" s="28"/>
      <c r="S1114" s="28"/>
      <c r="T1114" s="28"/>
      <c r="U1114" s="28"/>
      <c r="V1114" s="28"/>
      <c r="W1114" s="28"/>
      <c r="X1114" s="28"/>
      <c r="Y1114" s="28"/>
      <c r="Z1114" s="28"/>
      <c r="AA1114" s="28"/>
      <c r="AB1114" s="28"/>
      <c r="AC1114" s="28"/>
      <c r="AD1114" s="28"/>
      <c r="AE1114" s="28"/>
      <c r="AF1114" s="28"/>
      <c r="AG1114" s="28"/>
      <c r="AH1114" s="28"/>
      <c r="AI1114" s="28"/>
      <c r="AJ1114" s="28"/>
      <c r="AK1114" s="28"/>
      <c r="AL1114" s="28"/>
      <c r="AM1114" s="28"/>
      <c r="AN1114" s="28"/>
      <c r="AO1114" s="28"/>
      <c r="AP1114" s="28"/>
      <c r="AQ1114" s="28"/>
      <c r="AR1114" s="28"/>
      <c r="AS1114" s="28"/>
      <c r="AT1114" s="28"/>
      <c r="AU1114" s="28"/>
      <c r="AV1114" s="28"/>
      <c r="AW1114" s="28"/>
      <c r="AX1114" s="28"/>
      <c r="AY1114" s="28"/>
      <c r="AZ1114" s="28"/>
      <c r="BA1114" s="28"/>
      <c r="BB1114" s="28"/>
      <c r="BC1114" s="28"/>
      <c r="BD1114" s="28"/>
      <c r="BE1114" s="28"/>
      <c r="BF1114" s="28"/>
      <c r="BG1114" s="28"/>
      <c r="BH1114" s="28"/>
      <c r="BI1114" s="28"/>
      <c r="BJ1114" s="28"/>
      <c r="BK1114" s="28"/>
      <c r="BL1114" s="28"/>
    </row>
    <row r="1115" spans="1:64" ht="12.75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28"/>
      <c r="L1115" s="28"/>
      <c r="M1115" s="28"/>
      <c r="N1115" s="28"/>
      <c r="O1115" s="28"/>
      <c r="P1115" s="28"/>
      <c r="Q1115" s="28"/>
      <c r="R1115" s="28"/>
      <c r="S1115" s="28"/>
      <c r="T1115" s="28"/>
      <c r="U1115" s="28"/>
      <c r="V1115" s="28"/>
      <c r="W1115" s="28"/>
      <c r="X1115" s="28"/>
      <c r="Y1115" s="28"/>
      <c r="Z1115" s="28"/>
      <c r="AA1115" s="28"/>
      <c r="AB1115" s="28"/>
      <c r="AC1115" s="28"/>
      <c r="AD1115" s="28"/>
      <c r="AE1115" s="28"/>
      <c r="AF1115" s="28"/>
      <c r="AG1115" s="28"/>
      <c r="AH1115" s="28"/>
      <c r="AI1115" s="28"/>
      <c r="AJ1115" s="28"/>
      <c r="AK1115" s="28"/>
      <c r="AL1115" s="28"/>
      <c r="AM1115" s="28"/>
      <c r="AN1115" s="28"/>
      <c r="AO1115" s="28"/>
      <c r="AP1115" s="28"/>
      <c r="AQ1115" s="28"/>
      <c r="AR1115" s="28"/>
      <c r="AS1115" s="28"/>
      <c r="AT1115" s="28"/>
      <c r="AU1115" s="28"/>
      <c r="AV1115" s="28"/>
      <c r="AW1115" s="28"/>
      <c r="AX1115" s="28"/>
      <c r="AY1115" s="28"/>
      <c r="AZ1115" s="28"/>
      <c r="BA1115" s="28"/>
      <c r="BB1115" s="28"/>
      <c r="BC1115" s="28"/>
      <c r="BD1115" s="28"/>
      <c r="BE1115" s="28"/>
      <c r="BF1115" s="28"/>
      <c r="BG1115" s="28"/>
      <c r="BH1115" s="28"/>
      <c r="BI1115" s="28"/>
      <c r="BJ1115" s="28"/>
      <c r="BK1115" s="28"/>
      <c r="BL1115" s="28"/>
    </row>
    <row r="1116" spans="1:64" ht="12.75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  <c r="P1116" s="28"/>
      <c r="Q1116" s="28"/>
      <c r="R1116" s="28"/>
      <c r="S1116" s="28"/>
      <c r="T1116" s="28"/>
      <c r="U1116" s="28"/>
      <c r="V1116" s="28"/>
      <c r="W1116" s="28"/>
      <c r="X1116" s="28"/>
      <c r="Y1116" s="28"/>
      <c r="Z1116" s="28"/>
      <c r="AA1116" s="28"/>
      <c r="AB1116" s="28"/>
      <c r="AC1116" s="28"/>
      <c r="AD1116" s="28"/>
      <c r="AE1116" s="28"/>
      <c r="AF1116" s="28"/>
      <c r="AG1116" s="28"/>
      <c r="AH1116" s="28"/>
      <c r="AI1116" s="28"/>
      <c r="AJ1116" s="28"/>
      <c r="AK1116" s="28"/>
      <c r="AL1116" s="28"/>
      <c r="AM1116" s="28"/>
      <c r="AN1116" s="28"/>
      <c r="AO1116" s="28"/>
      <c r="AP1116" s="28"/>
      <c r="AQ1116" s="28"/>
      <c r="AR1116" s="28"/>
      <c r="AS1116" s="28"/>
      <c r="AT1116" s="28"/>
      <c r="AU1116" s="28"/>
      <c r="AV1116" s="28"/>
      <c r="AW1116" s="28"/>
      <c r="AX1116" s="28"/>
      <c r="AY1116" s="28"/>
      <c r="AZ1116" s="28"/>
      <c r="BA1116" s="28"/>
      <c r="BB1116" s="28"/>
      <c r="BC1116" s="28"/>
      <c r="BD1116" s="28"/>
      <c r="BE1116" s="28"/>
      <c r="BF1116" s="28"/>
      <c r="BG1116" s="28"/>
      <c r="BH1116" s="28"/>
      <c r="BI1116" s="28"/>
      <c r="BJ1116" s="28"/>
      <c r="BK1116" s="28"/>
      <c r="BL1116" s="28"/>
    </row>
    <row r="1117" spans="1:64" ht="12.75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28"/>
      <c r="L1117" s="28"/>
      <c r="M1117" s="28"/>
      <c r="N1117" s="28"/>
      <c r="O1117" s="28"/>
      <c r="P1117" s="28"/>
      <c r="Q1117" s="28"/>
      <c r="R1117" s="28"/>
      <c r="S1117" s="28"/>
      <c r="T1117" s="28"/>
      <c r="U1117" s="28"/>
      <c r="V1117" s="28"/>
      <c r="W1117" s="28"/>
      <c r="X1117" s="28"/>
      <c r="Y1117" s="28"/>
      <c r="Z1117" s="28"/>
      <c r="AA1117" s="28"/>
      <c r="AB1117" s="28"/>
      <c r="AC1117" s="28"/>
      <c r="AD1117" s="28"/>
      <c r="AE1117" s="28"/>
      <c r="AF1117" s="28"/>
      <c r="AG1117" s="28"/>
      <c r="AH1117" s="28"/>
      <c r="AI1117" s="28"/>
      <c r="AJ1117" s="28"/>
      <c r="AK1117" s="28"/>
      <c r="AL1117" s="28"/>
      <c r="AM1117" s="28"/>
      <c r="AN1117" s="28"/>
      <c r="AO1117" s="28"/>
      <c r="AP1117" s="28"/>
      <c r="AQ1117" s="28"/>
      <c r="AR1117" s="28"/>
      <c r="AS1117" s="28"/>
      <c r="AT1117" s="28"/>
      <c r="AU1117" s="28"/>
      <c r="AV1117" s="28"/>
      <c r="AW1117" s="28"/>
      <c r="AX1117" s="28"/>
      <c r="AY1117" s="28"/>
      <c r="AZ1117" s="28"/>
      <c r="BA1117" s="28"/>
      <c r="BB1117" s="28"/>
      <c r="BC1117" s="28"/>
      <c r="BD1117" s="28"/>
      <c r="BE1117" s="28"/>
      <c r="BF1117" s="28"/>
      <c r="BG1117" s="28"/>
      <c r="BH1117" s="28"/>
      <c r="BI1117" s="28"/>
      <c r="BJ1117" s="28"/>
      <c r="BK1117" s="28"/>
      <c r="BL1117" s="28"/>
    </row>
    <row r="1118" spans="1:64" ht="12.75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  <c r="R1118" s="28"/>
      <c r="S1118" s="28"/>
      <c r="T1118" s="28"/>
      <c r="U1118" s="28"/>
      <c r="V1118" s="28"/>
      <c r="W1118" s="28"/>
      <c r="X1118" s="28"/>
      <c r="Y1118" s="28"/>
      <c r="Z1118" s="28"/>
      <c r="AA1118" s="28"/>
      <c r="AB1118" s="28"/>
      <c r="AC1118" s="28"/>
      <c r="AD1118" s="28"/>
      <c r="AE1118" s="28"/>
      <c r="AF1118" s="28"/>
      <c r="AG1118" s="28"/>
      <c r="AH1118" s="28"/>
      <c r="AI1118" s="28"/>
      <c r="AJ1118" s="28"/>
      <c r="AK1118" s="28"/>
      <c r="AL1118" s="28"/>
      <c r="AM1118" s="28"/>
      <c r="AN1118" s="28"/>
      <c r="AO1118" s="28"/>
      <c r="AP1118" s="28"/>
      <c r="AQ1118" s="28"/>
      <c r="AR1118" s="28"/>
      <c r="AS1118" s="28"/>
      <c r="AT1118" s="28"/>
      <c r="AU1118" s="28"/>
      <c r="AV1118" s="28"/>
      <c r="AW1118" s="28"/>
      <c r="AX1118" s="28"/>
      <c r="AY1118" s="28"/>
      <c r="AZ1118" s="28"/>
      <c r="BA1118" s="28"/>
      <c r="BB1118" s="28"/>
      <c r="BC1118" s="28"/>
      <c r="BD1118" s="28"/>
      <c r="BE1118" s="28"/>
      <c r="BF1118" s="28"/>
      <c r="BG1118" s="28"/>
      <c r="BH1118" s="28"/>
      <c r="BI1118" s="28"/>
      <c r="BJ1118" s="28"/>
      <c r="BK1118" s="28"/>
      <c r="BL1118" s="28"/>
    </row>
    <row r="1119" spans="1:64" ht="12.75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/>
      <c r="O1119" s="28"/>
      <c r="P1119" s="28"/>
      <c r="Q1119" s="28"/>
      <c r="R1119" s="28"/>
      <c r="S1119" s="28"/>
      <c r="T1119" s="28"/>
      <c r="U1119" s="28"/>
      <c r="V1119" s="28"/>
      <c r="W1119" s="28"/>
      <c r="X1119" s="28"/>
      <c r="Y1119" s="28"/>
      <c r="Z1119" s="28"/>
      <c r="AA1119" s="28"/>
      <c r="AB1119" s="28"/>
      <c r="AC1119" s="28"/>
      <c r="AD1119" s="28"/>
      <c r="AE1119" s="28"/>
      <c r="AF1119" s="28"/>
      <c r="AG1119" s="28"/>
      <c r="AH1119" s="28"/>
      <c r="AI1119" s="28"/>
      <c r="AJ1119" s="28"/>
      <c r="AK1119" s="28"/>
      <c r="AL1119" s="28"/>
      <c r="AM1119" s="28"/>
      <c r="AN1119" s="28"/>
      <c r="AO1119" s="28"/>
      <c r="AP1119" s="28"/>
      <c r="AQ1119" s="28"/>
      <c r="AR1119" s="28"/>
      <c r="AS1119" s="28"/>
      <c r="AT1119" s="28"/>
      <c r="AU1119" s="28"/>
      <c r="AV1119" s="28"/>
      <c r="AW1119" s="28"/>
      <c r="AX1119" s="28"/>
      <c r="AY1119" s="28"/>
      <c r="AZ1119" s="28"/>
      <c r="BA1119" s="28"/>
      <c r="BB1119" s="28"/>
      <c r="BC1119" s="28"/>
      <c r="BD1119" s="28"/>
      <c r="BE1119" s="28"/>
      <c r="BF1119" s="28"/>
      <c r="BG1119" s="28"/>
      <c r="BH1119" s="28"/>
      <c r="BI1119" s="28"/>
      <c r="BJ1119" s="28"/>
      <c r="BK1119" s="28"/>
      <c r="BL1119" s="28"/>
    </row>
    <row r="1120" spans="1:64" ht="12.75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  <c r="P1120" s="28"/>
      <c r="Q1120" s="28"/>
      <c r="R1120" s="28"/>
      <c r="S1120" s="28"/>
      <c r="T1120" s="28"/>
      <c r="U1120" s="28"/>
      <c r="V1120" s="28"/>
      <c r="W1120" s="28"/>
      <c r="X1120" s="28"/>
      <c r="Y1120" s="28"/>
      <c r="Z1120" s="28"/>
      <c r="AA1120" s="28"/>
      <c r="AB1120" s="28"/>
      <c r="AC1120" s="28"/>
      <c r="AD1120" s="28"/>
      <c r="AE1120" s="28"/>
      <c r="AF1120" s="28"/>
      <c r="AG1120" s="28"/>
      <c r="AH1120" s="28"/>
      <c r="AI1120" s="28"/>
      <c r="AJ1120" s="28"/>
      <c r="AK1120" s="28"/>
      <c r="AL1120" s="28"/>
      <c r="AM1120" s="28"/>
      <c r="AN1120" s="28"/>
      <c r="AO1120" s="28"/>
      <c r="AP1120" s="28"/>
      <c r="AQ1120" s="28"/>
      <c r="AR1120" s="28"/>
      <c r="AS1120" s="28"/>
      <c r="AT1120" s="28"/>
      <c r="AU1120" s="28"/>
      <c r="AV1120" s="28"/>
      <c r="AW1120" s="28"/>
      <c r="AX1120" s="28"/>
      <c r="AY1120" s="28"/>
      <c r="AZ1120" s="28"/>
      <c r="BA1120" s="28"/>
      <c r="BB1120" s="28"/>
      <c r="BC1120" s="28"/>
      <c r="BD1120" s="28"/>
      <c r="BE1120" s="28"/>
      <c r="BF1120" s="28"/>
      <c r="BG1120" s="28"/>
      <c r="BH1120" s="28"/>
      <c r="BI1120" s="28"/>
      <c r="BJ1120" s="28"/>
      <c r="BK1120" s="28"/>
      <c r="BL1120" s="28"/>
    </row>
    <row r="1121" spans="1:64" ht="12.75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  <c r="R1121" s="28"/>
      <c r="S1121" s="28"/>
      <c r="T1121" s="28"/>
      <c r="U1121" s="28"/>
      <c r="V1121" s="28"/>
      <c r="W1121" s="28"/>
      <c r="X1121" s="28"/>
      <c r="Y1121" s="28"/>
      <c r="Z1121" s="28"/>
      <c r="AA1121" s="28"/>
      <c r="AB1121" s="28"/>
      <c r="AC1121" s="28"/>
      <c r="AD1121" s="28"/>
      <c r="AE1121" s="28"/>
      <c r="AF1121" s="28"/>
      <c r="AG1121" s="28"/>
      <c r="AH1121" s="28"/>
      <c r="AI1121" s="28"/>
      <c r="AJ1121" s="28"/>
      <c r="AK1121" s="28"/>
      <c r="AL1121" s="28"/>
      <c r="AM1121" s="28"/>
      <c r="AN1121" s="28"/>
      <c r="AO1121" s="28"/>
      <c r="AP1121" s="28"/>
      <c r="AQ1121" s="28"/>
      <c r="AR1121" s="28"/>
      <c r="AS1121" s="28"/>
      <c r="AT1121" s="28"/>
      <c r="AU1121" s="28"/>
      <c r="AV1121" s="28"/>
      <c r="AW1121" s="28"/>
      <c r="AX1121" s="28"/>
      <c r="AY1121" s="28"/>
      <c r="AZ1121" s="28"/>
      <c r="BA1121" s="28"/>
      <c r="BB1121" s="28"/>
      <c r="BC1121" s="28"/>
      <c r="BD1121" s="28"/>
      <c r="BE1121" s="28"/>
      <c r="BF1121" s="28"/>
      <c r="BG1121" s="28"/>
      <c r="BH1121" s="28"/>
      <c r="BI1121" s="28"/>
      <c r="BJ1121" s="28"/>
      <c r="BK1121" s="28"/>
      <c r="BL1121" s="28"/>
    </row>
    <row r="1122" spans="1:64" ht="12.75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  <c r="P1122" s="28"/>
      <c r="Q1122" s="28"/>
      <c r="R1122" s="28"/>
      <c r="S1122" s="28"/>
      <c r="T1122" s="28"/>
      <c r="U1122" s="28"/>
      <c r="V1122" s="28"/>
      <c r="W1122" s="28"/>
      <c r="X1122" s="28"/>
      <c r="Y1122" s="28"/>
      <c r="Z1122" s="28"/>
      <c r="AA1122" s="28"/>
      <c r="AB1122" s="28"/>
      <c r="AC1122" s="28"/>
      <c r="AD1122" s="28"/>
      <c r="AE1122" s="28"/>
      <c r="AF1122" s="28"/>
      <c r="AG1122" s="28"/>
      <c r="AH1122" s="28"/>
      <c r="AI1122" s="28"/>
      <c r="AJ1122" s="28"/>
      <c r="AK1122" s="28"/>
      <c r="AL1122" s="28"/>
      <c r="AM1122" s="28"/>
      <c r="AN1122" s="28"/>
      <c r="AO1122" s="28"/>
      <c r="AP1122" s="28"/>
      <c r="AQ1122" s="28"/>
      <c r="AR1122" s="28"/>
      <c r="AS1122" s="28"/>
      <c r="AT1122" s="28"/>
      <c r="AU1122" s="28"/>
      <c r="AV1122" s="28"/>
      <c r="AW1122" s="28"/>
      <c r="AX1122" s="28"/>
      <c r="AY1122" s="28"/>
      <c r="AZ1122" s="28"/>
      <c r="BA1122" s="28"/>
      <c r="BB1122" s="28"/>
      <c r="BC1122" s="28"/>
      <c r="BD1122" s="28"/>
      <c r="BE1122" s="28"/>
      <c r="BF1122" s="28"/>
      <c r="BG1122" s="28"/>
      <c r="BH1122" s="28"/>
      <c r="BI1122" s="28"/>
      <c r="BJ1122" s="28"/>
      <c r="BK1122" s="28"/>
      <c r="BL1122" s="28"/>
    </row>
    <row r="1123" spans="1:64" ht="12.75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  <c r="P1123" s="28"/>
      <c r="Q1123" s="28"/>
      <c r="R1123" s="28"/>
      <c r="S1123" s="28"/>
      <c r="T1123" s="28"/>
      <c r="U1123" s="28"/>
      <c r="V1123" s="28"/>
      <c r="W1123" s="28"/>
      <c r="X1123" s="28"/>
      <c r="Y1123" s="28"/>
      <c r="Z1123" s="28"/>
      <c r="AA1123" s="28"/>
      <c r="AB1123" s="28"/>
      <c r="AC1123" s="28"/>
      <c r="AD1123" s="28"/>
      <c r="AE1123" s="28"/>
      <c r="AF1123" s="28"/>
      <c r="AG1123" s="28"/>
      <c r="AH1123" s="28"/>
      <c r="AI1123" s="28"/>
      <c r="AJ1123" s="28"/>
      <c r="AK1123" s="28"/>
      <c r="AL1123" s="28"/>
      <c r="AM1123" s="28"/>
      <c r="AN1123" s="28"/>
      <c r="AO1123" s="28"/>
      <c r="AP1123" s="28"/>
      <c r="AQ1123" s="28"/>
      <c r="AR1123" s="28"/>
      <c r="AS1123" s="28"/>
      <c r="AT1123" s="28"/>
      <c r="AU1123" s="28"/>
      <c r="AV1123" s="28"/>
      <c r="AW1123" s="28"/>
      <c r="AX1123" s="28"/>
      <c r="AY1123" s="28"/>
      <c r="AZ1123" s="28"/>
      <c r="BA1123" s="28"/>
      <c r="BB1123" s="28"/>
      <c r="BC1123" s="28"/>
      <c r="BD1123" s="28"/>
      <c r="BE1123" s="28"/>
      <c r="BF1123" s="28"/>
      <c r="BG1123" s="28"/>
      <c r="BH1123" s="28"/>
      <c r="BI1123" s="28"/>
      <c r="BJ1123" s="28"/>
      <c r="BK1123" s="28"/>
      <c r="BL1123" s="28"/>
    </row>
    <row r="1124" spans="1:64" ht="12.75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  <c r="P1124" s="28"/>
      <c r="Q1124" s="28"/>
      <c r="R1124" s="28"/>
      <c r="S1124" s="28"/>
      <c r="T1124" s="28"/>
      <c r="U1124" s="28"/>
      <c r="V1124" s="28"/>
      <c r="W1124" s="28"/>
      <c r="X1124" s="28"/>
      <c r="Y1124" s="28"/>
      <c r="Z1124" s="28"/>
      <c r="AA1124" s="28"/>
      <c r="AB1124" s="28"/>
      <c r="AC1124" s="28"/>
      <c r="AD1124" s="28"/>
      <c r="AE1124" s="28"/>
      <c r="AF1124" s="28"/>
      <c r="AG1124" s="28"/>
      <c r="AH1124" s="28"/>
      <c r="AI1124" s="28"/>
      <c r="AJ1124" s="28"/>
      <c r="AK1124" s="28"/>
      <c r="AL1124" s="28"/>
      <c r="AM1124" s="28"/>
      <c r="AN1124" s="28"/>
      <c r="AO1124" s="28"/>
      <c r="AP1124" s="28"/>
      <c r="AQ1124" s="28"/>
      <c r="AR1124" s="28"/>
      <c r="AS1124" s="28"/>
      <c r="AT1124" s="28"/>
      <c r="AU1124" s="28"/>
      <c r="AV1124" s="28"/>
      <c r="AW1124" s="28"/>
      <c r="AX1124" s="28"/>
      <c r="AY1124" s="28"/>
      <c r="AZ1124" s="28"/>
      <c r="BA1124" s="28"/>
      <c r="BB1124" s="28"/>
      <c r="BC1124" s="28"/>
      <c r="BD1124" s="28"/>
      <c r="BE1124" s="28"/>
      <c r="BF1124" s="28"/>
      <c r="BG1124" s="28"/>
      <c r="BH1124" s="28"/>
      <c r="BI1124" s="28"/>
      <c r="BJ1124" s="28"/>
      <c r="BK1124" s="28"/>
      <c r="BL1124" s="28"/>
    </row>
    <row r="1125" spans="1:64" ht="12.75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28"/>
      <c r="L1125" s="28"/>
      <c r="M1125" s="28"/>
      <c r="N1125" s="28"/>
      <c r="O1125" s="28"/>
      <c r="P1125" s="28"/>
      <c r="Q1125" s="28"/>
      <c r="R1125" s="28"/>
      <c r="S1125" s="28"/>
      <c r="T1125" s="28"/>
      <c r="U1125" s="28"/>
      <c r="V1125" s="28"/>
      <c r="W1125" s="28"/>
      <c r="X1125" s="28"/>
      <c r="Y1125" s="28"/>
      <c r="Z1125" s="28"/>
      <c r="AA1125" s="28"/>
      <c r="AB1125" s="28"/>
      <c r="AC1125" s="28"/>
      <c r="AD1125" s="28"/>
      <c r="AE1125" s="28"/>
      <c r="AF1125" s="28"/>
      <c r="AG1125" s="28"/>
      <c r="AH1125" s="28"/>
      <c r="AI1125" s="28"/>
      <c r="AJ1125" s="28"/>
      <c r="AK1125" s="28"/>
      <c r="AL1125" s="28"/>
      <c r="AM1125" s="28"/>
      <c r="AN1125" s="28"/>
      <c r="AO1125" s="28"/>
      <c r="AP1125" s="28"/>
      <c r="AQ1125" s="28"/>
      <c r="AR1125" s="28"/>
      <c r="AS1125" s="28"/>
      <c r="AT1125" s="28"/>
      <c r="AU1125" s="28"/>
      <c r="AV1125" s="28"/>
      <c r="AW1125" s="28"/>
      <c r="AX1125" s="28"/>
      <c r="AY1125" s="28"/>
      <c r="AZ1125" s="28"/>
      <c r="BA1125" s="28"/>
      <c r="BB1125" s="28"/>
      <c r="BC1125" s="28"/>
      <c r="BD1125" s="28"/>
      <c r="BE1125" s="28"/>
      <c r="BF1125" s="28"/>
      <c r="BG1125" s="28"/>
      <c r="BH1125" s="28"/>
      <c r="BI1125" s="28"/>
      <c r="BJ1125" s="28"/>
      <c r="BK1125" s="28"/>
      <c r="BL1125" s="28"/>
    </row>
    <row r="1126" spans="1:64" ht="12.75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28"/>
      <c r="Q1126" s="28"/>
      <c r="R1126" s="28"/>
      <c r="S1126" s="28"/>
      <c r="T1126" s="28"/>
      <c r="U1126" s="28"/>
      <c r="V1126" s="28"/>
      <c r="W1126" s="28"/>
      <c r="X1126" s="28"/>
      <c r="Y1126" s="28"/>
      <c r="Z1126" s="28"/>
      <c r="AA1126" s="28"/>
      <c r="AB1126" s="28"/>
      <c r="AC1126" s="28"/>
      <c r="AD1126" s="28"/>
      <c r="AE1126" s="28"/>
      <c r="AF1126" s="28"/>
      <c r="AG1126" s="28"/>
      <c r="AH1126" s="28"/>
      <c r="AI1126" s="28"/>
      <c r="AJ1126" s="28"/>
      <c r="AK1126" s="28"/>
      <c r="AL1126" s="28"/>
      <c r="AM1126" s="28"/>
      <c r="AN1126" s="28"/>
      <c r="AO1126" s="28"/>
      <c r="AP1126" s="28"/>
      <c r="AQ1126" s="28"/>
      <c r="AR1126" s="28"/>
      <c r="AS1126" s="28"/>
      <c r="AT1126" s="28"/>
      <c r="AU1126" s="28"/>
      <c r="AV1126" s="28"/>
      <c r="AW1126" s="28"/>
      <c r="AX1126" s="28"/>
      <c r="AY1126" s="28"/>
      <c r="AZ1126" s="28"/>
      <c r="BA1126" s="28"/>
      <c r="BB1126" s="28"/>
      <c r="BC1126" s="28"/>
      <c r="BD1126" s="28"/>
      <c r="BE1126" s="28"/>
      <c r="BF1126" s="28"/>
      <c r="BG1126" s="28"/>
      <c r="BH1126" s="28"/>
      <c r="BI1126" s="28"/>
      <c r="BJ1126" s="28"/>
      <c r="BK1126" s="28"/>
      <c r="BL1126" s="28"/>
    </row>
    <row r="1127" spans="1:64" ht="12.75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  <c r="N1127" s="28"/>
      <c r="O1127" s="28"/>
      <c r="P1127" s="28"/>
      <c r="Q1127" s="28"/>
      <c r="R1127" s="28"/>
      <c r="S1127" s="28"/>
      <c r="T1127" s="28"/>
      <c r="U1127" s="28"/>
      <c r="V1127" s="28"/>
      <c r="W1127" s="28"/>
      <c r="X1127" s="28"/>
      <c r="Y1127" s="28"/>
      <c r="Z1127" s="28"/>
      <c r="AA1127" s="28"/>
      <c r="AB1127" s="28"/>
      <c r="AC1127" s="28"/>
      <c r="AD1127" s="28"/>
      <c r="AE1127" s="28"/>
      <c r="AF1127" s="28"/>
      <c r="AG1127" s="28"/>
      <c r="AH1127" s="28"/>
      <c r="AI1127" s="28"/>
      <c r="AJ1127" s="28"/>
      <c r="AK1127" s="28"/>
      <c r="AL1127" s="28"/>
      <c r="AM1127" s="28"/>
      <c r="AN1127" s="28"/>
      <c r="AO1127" s="28"/>
      <c r="AP1127" s="28"/>
      <c r="AQ1127" s="28"/>
      <c r="AR1127" s="28"/>
      <c r="AS1127" s="28"/>
      <c r="AT1127" s="28"/>
      <c r="AU1127" s="28"/>
      <c r="AV1127" s="28"/>
      <c r="AW1127" s="28"/>
      <c r="AX1127" s="28"/>
      <c r="AY1127" s="28"/>
      <c r="AZ1127" s="28"/>
      <c r="BA1127" s="28"/>
      <c r="BB1127" s="28"/>
      <c r="BC1127" s="28"/>
      <c r="BD1127" s="28"/>
      <c r="BE1127" s="28"/>
      <c r="BF1127" s="28"/>
      <c r="BG1127" s="28"/>
      <c r="BH1127" s="28"/>
      <c r="BI1127" s="28"/>
      <c r="BJ1127" s="28"/>
      <c r="BK1127" s="28"/>
      <c r="BL1127" s="28"/>
    </row>
    <row r="1128" spans="1:64" ht="12.75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28"/>
      <c r="Q1128" s="28"/>
      <c r="R1128" s="28"/>
      <c r="S1128" s="28"/>
      <c r="T1128" s="28"/>
      <c r="U1128" s="28"/>
      <c r="V1128" s="28"/>
      <c r="W1128" s="28"/>
      <c r="X1128" s="28"/>
      <c r="Y1128" s="28"/>
      <c r="Z1128" s="28"/>
      <c r="AA1128" s="28"/>
      <c r="AB1128" s="28"/>
      <c r="AC1128" s="28"/>
      <c r="AD1128" s="28"/>
      <c r="AE1128" s="28"/>
      <c r="AF1128" s="28"/>
      <c r="AG1128" s="28"/>
      <c r="AH1128" s="28"/>
      <c r="AI1128" s="28"/>
      <c r="AJ1128" s="28"/>
      <c r="AK1128" s="28"/>
      <c r="AL1128" s="28"/>
      <c r="AM1128" s="28"/>
      <c r="AN1128" s="28"/>
      <c r="AO1128" s="28"/>
      <c r="AP1128" s="28"/>
      <c r="AQ1128" s="28"/>
      <c r="AR1128" s="28"/>
      <c r="AS1128" s="28"/>
      <c r="AT1128" s="28"/>
      <c r="AU1128" s="28"/>
      <c r="AV1128" s="28"/>
      <c r="AW1128" s="28"/>
      <c r="AX1128" s="28"/>
      <c r="AY1128" s="28"/>
      <c r="AZ1128" s="28"/>
      <c r="BA1128" s="28"/>
      <c r="BB1128" s="28"/>
      <c r="BC1128" s="28"/>
      <c r="BD1128" s="28"/>
      <c r="BE1128" s="28"/>
      <c r="BF1128" s="28"/>
      <c r="BG1128" s="28"/>
      <c r="BH1128" s="28"/>
      <c r="BI1128" s="28"/>
      <c r="BJ1128" s="28"/>
      <c r="BK1128" s="28"/>
      <c r="BL1128" s="28"/>
    </row>
    <row r="1129" spans="1:64" ht="12.75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28"/>
      <c r="L1129" s="28"/>
      <c r="M1129" s="28"/>
      <c r="N1129" s="28"/>
      <c r="O1129" s="28"/>
      <c r="P1129" s="28"/>
      <c r="Q1129" s="28"/>
      <c r="R1129" s="28"/>
      <c r="S1129" s="28"/>
      <c r="T1129" s="28"/>
      <c r="U1129" s="28"/>
      <c r="V1129" s="28"/>
      <c r="W1129" s="28"/>
      <c r="X1129" s="28"/>
      <c r="Y1129" s="28"/>
      <c r="Z1129" s="28"/>
      <c r="AA1129" s="28"/>
      <c r="AB1129" s="28"/>
      <c r="AC1129" s="28"/>
      <c r="AD1129" s="28"/>
      <c r="AE1129" s="28"/>
      <c r="AF1129" s="28"/>
      <c r="AG1129" s="28"/>
      <c r="AH1129" s="28"/>
      <c r="AI1129" s="28"/>
      <c r="AJ1129" s="28"/>
      <c r="AK1129" s="28"/>
      <c r="AL1129" s="28"/>
      <c r="AM1129" s="28"/>
      <c r="AN1129" s="28"/>
      <c r="AO1129" s="28"/>
      <c r="AP1129" s="28"/>
      <c r="AQ1129" s="28"/>
      <c r="AR1129" s="28"/>
      <c r="AS1129" s="28"/>
      <c r="AT1129" s="28"/>
      <c r="AU1129" s="28"/>
      <c r="AV1129" s="28"/>
      <c r="AW1129" s="28"/>
      <c r="AX1129" s="28"/>
      <c r="AY1129" s="28"/>
      <c r="AZ1129" s="28"/>
      <c r="BA1129" s="28"/>
      <c r="BB1129" s="28"/>
      <c r="BC1129" s="28"/>
      <c r="BD1129" s="28"/>
      <c r="BE1129" s="28"/>
      <c r="BF1129" s="28"/>
      <c r="BG1129" s="28"/>
      <c r="BH1129" s="28"/>
      <c r="BI1129" s="28"/>
      <c r="BJ1129" s="28"/>
      <c r="BK1129" s="28"/>
      <c r="BL1129" s="28"/>
    </row>
    <row r="1130" spans="1:64" ht="12.75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28"/>
      <c r="L1130" s="28"/>
      <c r="M1130" s="28"/>
      <c r="N1130" s="28"/>
      <c r="O1130" s="28"/>
      <c r="P1130" s="28"/>
      <c r="Q1130" s="28"/>
      <c r="R1130" s="28"/>
      <c r="S1130" s="28"/>
      <c r="T1130" s="28"/>
      <c r="U1130" s="28"/>
      <c r="V1130" s="28"/>
      <c r="W1130" s="28"/>
      <c r="X1130" s="28"/>
      <c r="Y1130" s="28"/>
      <c r="Z1130" s="28"/>
      <c r="AA1130" s="28"/>
      <c r="AB1130" s="28"/>
      <c r="AC1130" s="28"/>
      <c r="AD1130" s="28"/>
      <c r="AE1130" s="28"/>
      <c r="AF1130" s="28"/>
      <c r="AG1130" s="28"/>
      <c r="AH1130" s="28"/>
      <c r="AI1130" s="28"/>
      <c r="AJ1130" s="28"/>
      <c r="AK1130" s="28"/>
      <c r="AL1130" s="28"/>
      <c r="AM1130" s="28"/>
      <c r="AN1130" s="28"/>
      <c r="AO1130" s="28"/>
      <c r="AP1130" s="28"/>
      <c r="AQ1130" s="28"/>
      <c r="AR1130" s="28"/>
      <c r="AS1130" s="28"/>
      <c r="AT1130" s="28"/>
      <c r="AU1130" s="28"/>
      <c r="AV1130" s="28"/>
      <c r="AW1130" s="28"/>
      <c r="AX1130" s="28"/>
      <c r="AY1130" s="28"/>
      <c r="AZ1130" s="28"/>
      <c r="BA1130" s="28"/>
      <c r="BB1130" s="28"/>
      <c r="BC1130" s="28"/>
      <c r="BD1130" s="28"/>
      <c r="BE1130" s="28"/>
      <c r="BF1130" s="28"/>
      <c r="BG1130" s="28"/>
      <c r="BH1130" s="28"/>
      <c r="BI1130" s="28"/>
      <c r="BJ1130" s="28"/>
      <c r="BK1130" s="28"/>
      <c r="BL1130" s="28"/>
    </row>
    <row r="1131" spans="1:64" ht="12.75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28"/>
      <c r="L1131" s="28"/>
      <c r="M1131" s="28"/>
      <c r="N1131" s="28"/>
      <c r="O1131" s="28"/>
      <c r="P1131" s="28"/>
      <c r="Q1131" s="28"/>
      <c r="R1131" s="28"/>
      <c r="S1131" s="28"/>
      <c r="T1131" s="28"/>
      <c r="U1131" s="28"/>
      <c r="V1131" s="28"/>
      <c r="W1131" s="28"/>
      <c r="X1131" s="28"/>
      <c r="Y1131" s="28"/>
      <c r="Z1131" s="28"/>
      <c r="AA1131" s="28"/>
      <c r="AB1131" s="28"/>
      <c r="AC1131" s="28"/>
      <c r="AD1131" s="28"/>
      <c r="AE1131" s="28"/>
      <c r="AF1131" s="28"/>
      <c r="AG1131" s="28"/>
      <c r="AH1131" s="28"/>
      <c r="AI1131" s="28"/>
      <c r="AJ1131" s="28"/>
      <c r="AK1131" s="28"/>
      <c r="AL1131" s="28"/>
      <c r="AM1131" s="28"/>
      <c r="AN1131" s="28"/>
      <c r="AO1131" s="28"/>
      <c r="AP1131" s="28"/>
      <c r="AQ1131" s="28"/>
      <c r="AR1131" s="28"/>
      <c r="AS1131" s="28"/>
      <c r="AT1131" s="28"/>
      <c r="AU1131" s="28"/>
      <c r="AV1131" s="28"/>
      <c r="AW1131" s="28"/>
      <c r="AX1131" s="28"/>
      <c r="AY1131" s="28"/>
      <c r="AZ1131" s="28"/>
      <c r="BA1131" s="28"/>
      <c r="BB1131" s="28"/>
      <c r="BC1131" s="28"/>
      <c r="BD1131" s="28"/>
      <c r="BE1131" s="28"/>
      <c r="BF1131" s="28"/>
      <c r="BG1131" s="28"/>
      <c r="BH1131" s="28"/>
      <c r="BI1131" s="28"/>
      <c r="BJ1131" s="28"/>
      <c r="BK1131" s="28"/>
      <c r="BL1131" s="28"/>
    </row>
    <row r="1132" spans="1:64" ht="12.75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28"/>
      <c r="Q1132" s="28"/>
      <c r="R1132" s="28"/>
      <c r="S1132" s="28"/>
      <c r="T1132" s="28"/>
      <c r="U1132" s="28"/>
      <c r="V1132" s="28"/>
      <c r="W1132" s="28"/>
      <c r="X1132" s="28"/>
      <c r="Y1132" s="28"/>
      <c r="Z1132" s="28"/>
      <c r="AA1132" s="28"/>
      <c r="AB1132" s="28"/>
      <c r="AC1132" s="28"/>
      <c r="AD1132" s="28"/>
      <c r="AE1132" s="28"/>
      <c r="AF1132" s="28"/>
      <c r="AG1132" s="28"/>
      <c r="AH1132" s="28"/>
      <c r="AI1132" s="28"/>
      <c r="AJ1132" s="28"/>
      <c r="AK1132" s="28"/>
      <c r="AL1132" s="28"/>
      <c r="AM1132" s="28"/>
      <c r="AN1132" s="28"/>
      <c r="AO1132" s="28"/>
      <c r="AP1132" s="28"/>
      <c r="AQ1132" s="28"/>
      <c r="AR1132" s="28"/>
      <c r="AS1132" s="28"/>
      <c r="AT1132" s="28"/>
      <c r="AU1132" s="28"/>
      <c r="AV1132" s="28"/>
      <c r="AW1132" s="28"/>
      <c r="AX1132" s="28"/>
      <c r="AY1132" s="28"/>
      <c r="AZ1132" s="28"/>
      <c r="BA1132" s="28"/>
      <c r="BB1132" s="28"/>
      <c r="BC1132" s="28"/>
      <c r="BD1132" s="28"/>
      <c r="BE1132" s="28"/>
      <c r="BF1132" s="28"/>
      <c r="BG1132" s="28"/>
      <c r="BH1132" s="28"/>
      <c r="BI1132" s="28"/>
      <c r="BJ1132" s="28"/>
      <c r="BK1132" s="28"/>
      <c r="BL1132" s="28"/>
    </row>
    <row r="1133" spans="1:64" ht="12.75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28"/>
      <c r="L1133" s="28"/>
      <c r="M1133" s="28"/>
      <c r="N1133" s="28"/>
      <c r="O1133" s="28"/>
      <c r="P1133" s="28"/>
      <c r="Q1133" s="28"/>
      <c r="R1133" s="28"/>
      <c r="S1133" s="28"/>
      <c r="T1133" s="28"/>
      <c r="U1133" s="28"/>
      <c r="V1133" s="28"/>
      <c r="W1133" s="28"/>
      <c r="X1133" s="28"/>
      <c r="Y1133" s="28"/>
      <c r="Z1133" s="28"/>
      <c r="AA1133" s="28"/>
      <c r="AB1133" s="28"/>
      <c r="AC1133" s="28"/>
      <c r="AD1133" s="28"/>
      <c r="AE1133" s="28"/>
      <c r="AF1133" s="28"/>
      <c r="AG1133" s="28"/>
      <c r="AH1133" s="28"/>
      <c r="AI1133" s="28"/>
      <c r="AJ1133" s="28"/>
      <c r="AK1133" s="28"/>
      <c r="AL1133" s="28"/>
      <c r="AM1133" s="28"/>
      <c r="AN1133" s="28"/>
      <c r="AO1133" s="28"/>
      <c r="AP1133" s="28"/>
      <c r="AQ1133" s="28"/>
      <c r="AR1133" s="28"/>
      <c r="AS1133" s="28"/>
      <c r="AT1133" s="28"/>
      <c r="AU1133" s="28"/>
      <c r="AV1133" s="28"/>
      <c r="AW1133" s="28"/>
      <c r="AX1133" s="28"/>
      <c r="AY1133" s="28"/>
      <c r="AZ1133" s="28"/>
      <c r="BA1133" s="28"/>
      <c r="BB1133" s="28"/>
      <c r="BC1133" s="28"/>
      <c r="BD1133" s="28"/>
      <c r="BE1133" s="28"/>
      <c r="BF1133" s="28"/>
      <c r="BG1133" s="28"/>
      <c r="BH1133" s="28"/>
      <c r="BI1133" s="28"/>
      <c r="BJ1133" s="28"/>
      <c r="BK1133" s="28"/>
      <c r="BL1133" s="28"/>
    </row>
    <row r="1134" spans="1:64" ht="12.75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  <c r="P1134" s="28"/>
      <c r="Q1134" s="28"/>
      <c r="R1134" s="28"/>
      <c r="S1134" s="28"/>
      <c r="T1134" s="28"/>
      <c r="U1134" s="28"/>
      <c r="V1134" s="28"/>
      <c r="W1134" s="28"/>
      <c r="X1134" s="28"/>
      <c r="Y1134" s="28"/>
      <c r="Z1134" s="28"/>
      <c r="AA1134" s="28"/>
      <c r="AB1134" s="28"/>
      <c r="AC1134" s="28"/>
      <c r="AD1134" s="28"/>
      <c r="AE1134" s="28"/>
      <c r="AF1134" s="28"/>
      <c r="AG1134" s="28"/>
      <c r="AH1134" s="28"/>
      <c r="AI1134" s="28"/>
      <c r="AJ1134" s="28"/>
      <c r="AK1134" s="28"/>
      <c r="AL1134" s="28"/>
      <c r="AM1134" s="28"/>
      <c r="AN1134" s="28"/>
      <c r="AO1134" s="28"/>
      <c r="AP1134" s="28"/>
      <c r="AQ1134" s="28"/>
      <c r="AR1134" s="28"/>
      <c r="AS1134" s="28"/>
      <c r="AT1134" s="28"/>
      <c r="AU1134" s="28"/>
      <c r="AV1134" s="28"/>
      <c r="AW1134" s="28"/>
      <c r="AX1134" s="28"/>
      <c r="AY1134" s="28"/>
      <c r="AZ1134" s="28"/>
      <c r="BA1134" s="28"/>
      <c r="BB1134" s="28"/>
      <c r="BC1134" s="28"/>
      <c r="BD1134" s="28"/>
      <c r="BE1134" s="28"/>
      <c r="BF1134" s="28"/>
      <c r="BG1134" s="28"/>
      <c r="BH1134" s="28"/>
      <c r="BI1134" s="28"/>
      <c r="BJ1134" s="28"/>
      <c r="BK1134" s="28"/>
      <c r="BL1134" s="28"/>
    </row>
    <row r="1135" spans="1:64" ht="12.75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28"/>
      <c r="L1135" s="28"/>
      <c r="M1135" s="28"/>
      <c r="N1135" s="28"/>
      <c r="O1135" s="28"/>
      <c r="P1135" s="28"/>
      <c r="Q1135" s="28"/>
      <c r="R1135" s="28"/>
      <c r="S1135" s="28"/>
      <c r="T1135" s="28"/>
      <c r="U1135" s="28"/>
      <c r="V1135" s="28"/>
      <c r="W1135" s="28"/>
      <c r="X1135" s="28"/>
      <c r="Y1135" s="28"/>
      <c r="Z1135" s="28"/>
      <c r="AA1135" s="28"/>
      <c r="AB1135" s="28"/>
      <c r="AC1135" s="28"/>
      <c r="AD1135" s="28"/>
      <c r="AE1135" s="28"/>
      <c r="AF1135" s="28"/>
      <c r="AG1135" s="28"/>
      <c r="AH1135" s="28"/>
      <c r="AI1135" s="28"/>
      <c r="AJ1135" s="28"/>
      <c r="AK1135" s="28"/>
      <c r="AL1135" s="28"/>
      <c r="AM1135" s="28"/>
      <c r="AN1135" s="28"/>
      <c r="AO1135" s="28"/>
      <c r="AP1135" s="28"/>
      <c r="AQ1135" s="28"/>
      <c r="AR1135" s="28"/>
      <c r="AS1135" s="28"/>
      <c r="AT1135" s="28"/>
      <c r="AU1135" s="28"/>
      <c r="AV1135" s="28"/>
      <c r="AW1135" s="28"/>
      <c r="AX1135" s="28"/>
      <c r="AY1135" s="28"/>
      <c r="AZ1135" s="28"/>
      <c r="BA1135" s="28"/>
      <c r="BB1135" s="28"/>
      <c r="BC1135" s="28"/>
      <c r="BD1135" s="28"/>
      <c r="BE1135" s="28"/>
      <c r="BF1135" s="28"/>
      <c r="BG1135" s="28"/>
      <c r="BH1135" s="28"/>
      <c r="BI1135" s="28"/>
      <c r="BJ1135" s="28"/>
      <c r="BK1135" s="28"/>
      <c r="BL1135" s="28"/>
    </row>
    <row r="1136" spans="1:64" ht="12.75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28"/>
      <c r="L1136" s="28"/>
      <c r="M1136" s="28"/>
      <c r="N1136" s="28"/>
      <c r="O1136" s="28"/>
      <c r="P1136" s="28"/>
      <c r="Q1136" s="28"/>
      <c r="R1136" s="28"/>
      <c r="S1136" s="28"/>
      <c r="T1136" s="28"/>
      <c r="U1136" s="28"/>
      <c r="V1136" s="28"/>
      <c r="W1136" s="28"/>
      <c r="X1136" s="28"/>
      <c r="Y1136" s="28"/>
      <c r="Z1136" s="28"/>
      <c r="AA1136" s="28"/>
      <c r="AB1136" s="28"/>
      <c r="AC1136" s="28"/>
      <c r="AD1136" s="28"/>
      <c r="AE1136" s="28"/>
      <c r="AF1136" s="28"/>
      <c r="AG1136" s="28"/>
      <c r="AH1136" s="28"/>
      <c r="AI1136" s="28"/>
      <c r="AJ1136" s="28"/>
      <c r="AK1136" s="28"/>
      <c r="AL1136" s="28"/>
      <c r="AM1136" s="28"/>
      <c r="AN1136" s="28"/>
      <c r="AO1136" s="28"/>
      <c r="AP1136" s="28"/>
      <c r="AQ1136" s="28"/>
      <c r="AR1136" s="28"/>
      <c r="AS1136" s="28"/>
      <c r="AT1136" s="28"/>
      <c r="AU1136" s="28"/>
      <c r="AV1136" s="28"/>
      <c r="AW1136" s="28"/>
      <c r="AX1136" s="28"/>
      <c r="AY1136" s="28"/>
      <c r="AZ1136" s="28"/>
      <c r="BA1136" s="28"/>
      <c r="BB1136" s="28"/>
      <c r="BC1136" s="28"/>
      <c r="BD1136" s="28"/>
      <c r="BE1136" s="28"/>
      <c r="BF1136" s="28"/>
      <c r="BG1136" s="28"/>
      <c r="BH1136" s="28"/>
      <c r="BI1136" s="28"/>
      <c r="BJ1136" s="28"/>
      <c r="BK1136" s="28"/>
      <c r="BL1136" s="28"/>
    </row>
    <row r="1137" spans="1:64" ht="12.75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28"/>
      <c r="L1137" s="28"/>
      <c r="M1137" s="28"/>
      <c r="N1137" s="28"/>
      <c r="O1137" s="28"/>
      <c r="P1137" s="28"/>
      <c r="Q1137" s="28"/>
      <c r="R1137" s="28"/>
      <c r="S1137" s="28"/>
      <c r="T1137" s="28"/>
      <c r="U1137" s="28"/>
      <c r="V1137" s="28"/>
      <c r="W1137" s="28"/>
      <c r="X1137" s="28"/>
      <c r="Y1137" s="28"/>
      <c r="Z1137" s="28"/>
      <c r="AA1137" s="28"/>
      <c r="AB1137" s="28"/>
      <c r="AC1137" s="28"/>
      <c r="AD1137" s="28"/>
      <c r="AE1137" s="28"/>
      <c r="AF1137" s="28"/>
      <c r="AG1137" s="28"/>
      <c r="AH1137" s="28"/>
      <c r="AI1137" s="28"/>
      <c r="AJ1137" s="28"/>
      <c r="AK1137" s="28"/>
      <c r="AL1137" s="28"/>
      <c r="AM1137" s="28"/>
      <c r="AN1137" s="28"/>
      <c r="AO1137" s="28"/>
      <c r="AP1137" s="28"/>
      <c r="AQ1137" s="28"/>
      <c r="AR1137" s="28"/>
      <c r="AS1137" s="28"/>
      <c r="AT1137" s="28"/>
      <c r="AU1137" s="28"/>
      <c r="AV1137" s="28"/>
      <c r="AW1137" s="28"/>
      <c r="AX1137" s="28"/>
      <c r="AY1137" s="28"/>
      <c r="AZ1137" s="28"/>
      <c r="BA1137" s="28"/>
      <c r="BB1137" s="28"/>
      <c r="BC1137" s="28"/>
      <c r="BD1137" s="28"/>
      <c r="BE1137" s="28"/>
      <c r="BF1137" s="28"/>
      <c r="BG1137" s="28"/>
      <c r="BH1137" s="28"/>
      <c r="BI1137" s="28"/>
      <c r="BJ1137" s="28"/>
      <c r="BK1137" s="28"/>
      <c r="BL1137" s="28"/>
    </row>
    <row r="1138" spans="1:64" ht="12.75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28"/>
      <c r="L1138" s="28"/>
      <c r="M1138" s="28"/>
      <c r="N1138" s="28"/>
      <c r="O1138" s="28"/>
      <c r="P1138" s="28"/>
      <c r="Q1138" s="28"/>
      <c r="R1138" s="28"/>
      <c r="S1138" s="28"/>
      <c r="T1138" s="28"/>
      <c r="U1138" s="28"/>
      <c r="V1138" s="28"/>
      <c r="W1138" s="28"/>
      <c r="X1138" s="28"/>
      <c r="Y1138" s="28"/>
      <c r="Z1138" s="28"/>
      <c r="AA1138" s="28"/>
      <c r="AB1138" s="28"/>
      <c r="AC1138" s="28"/>
      <c r="AD1138" s="28"/>
      <c r="AE1138" s="28"/>
      <c r="AF1138" s="28"/>
      <c r="AG1138" s="28"/>
      <c r="AH1138" s="28"/>
      <c r="AI1138" s="28"/>
      <c r="AJ1138" s="28"/>
      <c r="AK1138" s="28"/>
      <c r="AL1138" s="28"/>
      <c r="AM1138" s="28"/>
      <c r="AN1138" s="28"/>
      <c r="AO1138" s="28"/>
      <c r="AP1138" s="28"/>
      <c r="AQ1138" s="28"/>
      <c r="AR1138" s="28"/>
      <c r="AS1138" s="28"/>
      <c r="AT1138" s="28"/>
      <c r="AU1138" s="28"/>
      <c r="AV1138" s="28"/>
      <c r="AW1138" s="28"/>
      <c r="AX1138" s="28"/>
      <c r="AY1138" s="28"/>
      <c r="AZ1138" s="28"/>
      <c r="BA1138" s="28"/>
      <c r="BB1138" s="28"/>
      <c r="BC1138" s="28"/>
      <c r="BD1138" s="28"/>
      <c r="BE1138" s="28"/>
      <c r="BF1138" s="28"/>
      <c r="BG1138" s="28"/>
      <c r="BH1138" s="28"/>
      <c r="BI1138" s="28"/>
      <c r="BJ1138" s="28"/>
      <c r="BK1138" s="28"/>
      <c r="BL1138" s="28"/>
    </row>
    <row r="1139" spans="1:64" ht="12.75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  <c r="P1139" s="28"/>
      <c r="Q1139" s="28"/>
      <c r="R1139" s="28"/>
      <c r="S1139" s="28"/>
      <c r="T1139" s="28"/>
      <c r="U1139" s="28"/>
      <c r="V1139" s="28"/>
      <c r="W1139" s="28"/>
      <c r="X1139" s="28"/>
      <c r="Y1139" s="28"/>
      <c r="Z1139" s="28"/>
      <c r="AA1139" s="28"/>
      <c r="AB1139" s="28"/>
      <c r="AC1139" s="28"/>
      <c r="AD1139" s="28"/>
      <c r="AE1139" s="28"/>
      <c r="AF1139" s="28"/>
      <c r="AG1139" s="28"/>
      <c r="AH1139" s="28"/>
      <c r="AI1139" s="28"/>
      <c r="AJ1139" s="28"/>
      <c r="AK1139" s="28"/>
      <c r="AL1139" s="28"/>
      <c r="AM1139" s="28"/>
      <c r="AN1139" s="28"/>
      <c r="AO1139" s="28"/>
      <c r="AP1139" s="28"/>
      <c r="AQ1139" s="28"/>
      <c r="AR1139" s="28"/>
      <c r="AS1139" s="28"/>
      <c r="AT1139" s="28"/>
      <c r="AU1139" s="28"/>
      <c r="AV1139" s="28"/>
      <c r="AW1139" s="28"/>
      <c r="AX1139" s="28"/>
      <c r="AY1139" s="28"/>
      <c r="AZ1139" s="28"/>
      <c r="BA1139" s="28"/>
      <c r="BB1139" s="28"/>
      <c r="BC1139" s="28"/>
      <c r="BD1139" s="28"/>
      <c r="BE1139" s="28"/>
      <c r="BF1139" s="28"/>
      <c r="BG1139" s="28"/>
      <c r="BH1139" s="28"/>
      <c r="BI1139" s="28"/>
      <c r="BJ1139" s="28"/>
      <c r="BK1139" s="28"/>
      <c r="BL1139" s="28"/>
    </row>
    <row r="1140" spans="1:64" ht="12.75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28"/>
      <c r="L1140" s="28"/>
      <c r="M1140" s="28"/>
      <c r="N1140" s="28"/>
      <c r="O1140" s="28"/>
      <c r="P1140" s="28"/>
      <c r="Q1140" s="28"/>
      <c r="R1140" s="28"/>
      <c r="S1140" s="28"/>
      <c r="T1140" s="28"/>
      <c r="U1140" s="28"/>
      <c r="V1140" s="28"/>
      <c r="W1140" s="28"/>
      <c r="X1140" s="28"/>
      <c r="Y1140" s="28"/>
      <c r="Z1140" s="28"/>
      <c r="AA1140" s="28"/>
      <c r="AB1140" s="28"/>
      <c r="AC1140" s="28"/>
      <c r="AD1140" s="28"/>
      <c r="AE1140" s="28"/>
      <c r="AF1140" s="28"/>
      <c r="AG1140" s="28"/>
      <c r="AH1140" s="28"/>
      <c r="AI1140" s="28"/>
      <c r="AJ1140" s="28"/>
      <c r="AK1140" s="28"/>
      <c r="AL1140" s="28"/>
      <c r="AM1140" s="28"/>
      <c r="AN1140" s="28"/>
      <c r="AO1140" s="28"/>
      <c r="AP1140" s="28"/>
      <c r="AQ1140" s="28"/>
      <c r="AR1140" s="28"/>
      <c r="AS1140" s="28"/>
      <c r="AT1140" s="28"/>
      <c r="AU1140" s="28"/>
      <c r="AV1140" s="28"/>
      <c r="AW1140" s="28"/>
      <c r="AX1140" s="28"/>
      <c r="AY1140" s="28"/>
      <c r="AZ1140" s="28"/>
      <c r="BA1140" s="28"/>
      <c r="BB1140" s="28"/>
      <c r="BC1140" s="28"/>
      <c r="BD1140" s="28"/>
      <c r="BE1140" s="28"/>
      <c r="BF1140" s="28"/>
      <c r="BG1140" s="28"/>
      <c r="BH1140" s="28"/>
      <c r="BI1140" s="28"/>
      <c r="BJ1140" s="28"/>
      <c r="BK1140" s="28"/>
      <c r="BL1140" s="28"/>
    </row>
    <row r="1141" spans="1:64" ht="12.75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28"/>
      <c r="L1141" s="28"/>
      <c r="M1141" s="28"/>
      <c r="N1141" s="28"/>
      <c r="O1141" s="28"/>
      <c r="P1141" s="28"/>
      <c r="Q1141" s="28"/>
      <c r="R1141" s="28"/>
      <c r="S1141" s="28"/>
      <c r="T1141" s="28"/>
      <c r="U1141" s="28"/>
      <c r="V1141" s="28"/>
      <c r="W1141" s="28"/>
      <c r="X1141" s="28"/>
      <c r="Y1141" s="28"/>
      <c r="Z1141" s="28"/>
      <c r="AA1141" s="28"/>
      <c r="AB1141" s="28"/>
      <c r="AC1141" s="28"/>
      <c r="AD1141" s="28"/>
      <c r="AE1141" s="28"/>
      <c r="AF1141" s="28"/>
      <c r="AG1141" s="28"/>
      <c r="AH1141" s="28"/>
      <c r="AI1141" s="28"/>
      <c r="AJ1141" s="28"/>
      <c r="AK1141" s="28"/>
      <c r="AL1141" s="28"/>
      <c r="AM1141" s="28"/>
      <c r="AN1141" s="28"/>
      <c r="AO1141" s="28"/>
      <c r="AP1141" s="28"/>
      <c r="AQ1141" s="28"/>
      <c r="AR1141" s="28"/>
      <c r="AS1141" s="28"/>
      <c r="AT1141" s="28"/>
      <c r="AU1141" s="28"/>
      <c r="AV1141" s="28"/>
      <c r="AW1141" s="28"/>
      <c r="AX1141" s="28"/>
      <c r="AY1141" s="28"/>
      <c r="AZ1141" s="28"/>
      <c r="BA1141" s="28"/>
      <c r="BB1141" s="28"/>
      <c r="BC1141" s="28"/>
      <c r="BD1141" s="28"/>
      <c r="BE1141" s="28"/>
      <c r="BF1141" s="28"/>
      <c r="BG1141" s="28"/>
      <c r="BH1141" s="28"/>
      <c r="BI1141" s="28"/>
      <c r="BJ1141" s="28"/>
      <c r="BK1141" s="28"/>
      <c r="BL1141" s="28"/>
    </row>
    <row r="1142" spans="1:64" ht="12.75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28"/>
      <c r="L1142" s="28"/>
      <c r="M1142" s="28"/>
      <c r="N1142" s="28"/>
      <c r="O1142" s="28"/>
      <c r="P1142" s="28"/>
      <c r="Q1142" s="28"/>
      <c r="R1142" s="28"/>
      <c r="S1142" s="28"/>
      <c r="T1142" s="28"/>
      <c r="U1142" s="28"/>
      <c r="V1142" s="28"/>
      <c r="W1142" s="28"/>
      <c r="X1142" s="28"/>
      <c r="Y1142" s="28"/>
      <c r="Z1142" s="28"/>
      <c r="AA1142" s="28"/>
      <c r="AB1142" s="28"/>
      <c r="AC1142" s="28"/>
      <c r="AD1142" s="28"/>
      <c r="AE1142" s="28"/>
      <c r="AF1142" s="28"/>
      <c r="AG1142" s="28"/>
      <c r="AH1142" s="28"/>
      <c r="AI1142" s="28"/>
      <c r="AJ1142" s="28"/>
      <c r="AK1142" s="28"/>
      <c r="AL1142" s="28"/>
      <c r="AM1142" s="28"/>
      <c r="AN1142" s="28"/>
      <c r="AO1142" s="28"/>
      <c r="AP1142" s="28"/>
      <c r="AQ1142" s="28"/>
      <c r="AR1142" s="28"/>
      <c r="AS1142" s="28"/>
      <c r="AT1142" s="28"/>
      <c r="AU1142" s="28"/>
      <c r="AV1142" s="28"/>
      <c r="AW1142" s="28"/>
      <c r="AX1142" s="28"/>
      <c r="AY1142" s="28"/>
      <c r="AZ1142" s="28"/>
      <c r="BA1142" s="28"/>
      <c r="BB1142" s="28"/>
      <c r="BC1142" s="28"/>
      <c r="BD1142" s="28"/>
      <c r="BE1142" s="28"/>
      <c r="BF1142" s="28"/>
      <c r="BG1142" s="28"/>
      <c r="BH1142" s="28"/>
      <c r="BI1142" s="28"/>
      <c r="BJ1142" s="28"/>
      <c r="BK1142" s="28"/>
      <c r="BL1142" s="28"/>
    </row>
    <row r="1143" spans="1:64" ht="12.75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28"/>
      <c r="L1143" s="28"/>
      <c r="M1143" s="28"/>
      <c r="N1143" s="28"/>
      <c r="O1143" s="28"/>
      <c r="P1143" s="28"/>
      <c r="Q1143" s="28"/>
      <c r="R1143" s="28"/>
      <c r="S1143" s="28"/>
      <c r="T1143" s="28"/>
      <c r="U1143" s="28"/>
      <c r="V1143" s="28"/>
      <c r="W1143" s="28"/>
      <c r="X1143" s="28"/>
      <c r="Y1143" s="28"/>
      <c r="Z1143" s="28"/>
      <c r="AA1143" s="28"/>
      <c r="AB1143" s="28"/>
      <c r="AC1143" s="28"/>
      <c r="AD1143" s="28"/>
      <c r="AE1143" s="28"/>
      <c r="AF1143" s="28"/>
      <c r="AG1143" s="28"/>
      <c r="AH1143" s="28"/>
      <c r="AI1143" s="28"/>
      <c r="AJ1143" s="28"/>
      <c r="AK1143" s="28"/>
      <c r="AL1143" s="28"/>
      <c r="AM1143" s="28"/>
      <c r="AN1143" s="28"/>
      <c r="AO1143" s="28"/>
      <c r="AP1143" s="28"/>
      <c r="AQ1143" s="28"/>
      <c r="AR1143" s="28"/>
      <c r="AS1143" s="28"/>
      <c r="AT1143" s="28"/>
      <c r="AU1143" s="28"/>
      <c r="AV1143" s="28"/>
      <c r="AW1143" s="28"/>
      <c r="AX1143" s="28"/>
      <c r="AY1143" s="28"/>
      <c r="AZ1143" s="28"/>
      <c r="BA1143" s="28"/>
      <c r="BB1143" s="28"/>
      <c r="BC1143" s="28"/>
      <c r="BD1143" s="28"/>
      <c r="BE1143" s="28"/>
      <c r="BF1143" s="28"/>
      <c r="BG1143" s="28"/>
      <c r="BH1143" s="28"/>
      <c r="BI1143" s="28"/>
      <c r="BJ1143" s="28"/>
      <c r="BK1143" s="28"/>
      <c r="BL1143" s="28"/>
    </row>
    <row r="1144" spans="1:64" ht="12.75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28"/>
      <c r="L1144" s="28"/>
      <c r="M1144" s="28"/>
      <c r="N1144" s="28"/>
      <c r="O1144" s="28"/>
      <c r="P1144" s="28"/>
      <c r="Q1144" s="28"/>
      <c r="R1144" s="28"/>
      <c r="S1144" s="28"/>
      <c r="T1144" s="28"/>
      <c r="U1144" s="28"/>
      <c r="V1144" s="28"/>
      <c r="W1144" s="28"/>
      <c r="X1144" s="28"/>
      <c r="Y1144" s="28"/>
      <c r="Z1144" s="28"/>
      <c r="AA1144" s="28"/>
      <c r="AB1144" s="28"/>
      <c r="AC1144" s="28"/>
      <c r="AD1144" s="28"/>
      <c r="AE1144" s="28"/>
      <c r="AF1144" s="28"/>
      <c r="AG1144" s="28"/>
      <c r="AH1144" s="28"/>
      <c r="AI1144" s="28"/>
      <c r="AJ1144" s="28"/>
      <c r="AK1144" s="28"/>
      <c r="AL1144" s="28"/>
      <c r="AM1144" s="28"/>
      <c r="AN1144" s="28"/>
      <c r="AO1144" s="28"/>
      <c r="AP1144" s="28"/>
      <c r="AQ1144" s="28"/>
      <c r="AR1144" s="28"/>
      <c r="AS1144" s="28"/>
      <c r="AT1144" s="28"/>
      <c r="AU1144" s="28"/>
      <c r="AV1144" s="28"/>
      <c r="AW1144" s="28"/>
      <c r="AX1144" s="28"/>
      <c r="AY1144" s="28"/>
      <c r="AZ1144" s="28"/>
      <c r="BA1144" s="28"/>
      <c r="BB1144" s="28"/>
      <c r="BC1144" s="28"/>
      <c r="BD1144" s="28"/>
      <c r="BE1144" s="28"/>
      <c r="BF1144" s="28"/>
      <c r="BG1144" s="28"/>
      <c r="BH1144" s="28"/>
      <c r="BI1144" s="28"/>
      <c r="BJ1144" s="28"/>
      <c r="BK1144" s="28"/>
      <c r="BL1144" s="28"/>
    </row>
    <row r="1145" spans="1:64" ht="12.75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28"/>
      <c r="L1145" s="28"/>
      <c r="M1145" s="28"/>
      <c r="N1145" s="28"/>
      <c r="O1145" s="28"/>
      <c r="P1145" s="28"/>
      <c r="Q1145" s="28"/>
      <c r="R1145" s="28"/>
      <c r="S1145" s="28"/>
      <c r="T1145" s="28"/>
      <c r="U1145" s="28"/>
      <c r="V1145" s="28"/>
      <c r="W1145" s="28"/>
      <c r="X1145" s="28"/>
      <c r="Y1145" s="28"/>
      <c r="Z1145" s="28"/>
      <c r="AA1145" s="28"/>
      <c r="AB1145" s="28"/>
      <c r="AC1145" s="28"/>
      <c r="AD1145" s="28"/>
      <c r="AE1145" s="28"/>
      <c r="AF1145" s="28"/>
      <c r="AG1145" s="28"/>
      <c r="AH1145" s="28"/>
      <c r="AI1145" s="28"/>
      <c r="AJ1145" s="28"/>
      <c r="AK1145" s="28"/>
      <c r="AL1145" s="28"/>
      <c r="AM1145" s="28"/>
      <c r="AN1145" s="28"/>
      <c r="AO1145" s="28"/>
      <c r="AP1145" s="28"/>
      <c r="AQ1145" s="28"/>
      <c r="AR1145" s="28"/>
      <c r="AS1145" s="28"/>
      <c r="AT1145" s="28"/>
      <c r="AU1145" s="28"/>
      <c r="AV1145" s="28"/>
      <c r="AW1145" s="28"/>
      <c r="AX1145" s="28"/>
      <c r="AY1145" s="28"/>
      <c r="AZ1145" s="28"/>
      <c r="BA1145" s="28"/>
      <c r="BB1145" s="28"/>
      <c r="BC1145" s="28"/>
      <c r="BD1145" s="28"/>
      <c r="BE1145" s="28"/>
      <c r="BF1145" s="28"/>
      <c r="BG1145" s="28"/>
      <c r="BH1145" s="28"/>
      <c r="BI1145" s="28"/>
      <c r="BJ1145" s="28"/>
      <c r="BK1145" s="28"/>
      <c r="BL1145" s="28"/>
    </row>
    <row r="1146" spans="1:64" ht="12.75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28"/>
      <c r="L1146" s="28"/>
      <c r="M1146" s="28"/>
      <c r="N1146" s="28"/>
      <c r="O1146" s="28"/>
      <c r="P1146" s="28"/>
      <c r="Q1146" s="28"/>
      <c r="R1146" s="28"/>
      <c r="S1146" s="28"/>
      <c r="T1146" s="28"/>
      <c r="U1146" s="28"/>
      <c r="V1146" s="28"/>
      <c r="W1146" s="28"/>
      <c r="X1146" s="28"/>
      <c r="Y1146" s="28"/>
      <c r="Z1146" s="28"/>
      <c r="AA1146" s="28"/>
      <c r="AB1146" s="28"/>
      <c r="AC1146" s="28"/>
      <c r="AD1146" s="28"/>
      <c r="AE1146" s="28"/>
      <c r="AF1146" s="28"/>
      <c r="AG1146" s="28"/>
      <c r="AH1146" s="28"/>
      <c r="AI1146" s="28"/>
      <c r="AJ1146" s="28"/>
      <c r="AK1146" s="28"/>
      <c r="AL1146" s="28"/>
      <c r="AM1146" s="28"/>
      <c r="AN1146" s="28"/>
      <c r="AO1146" s="28"/>
      <c r="AP1146" s="28"/>
      <c r="AQ1146" s="28"/>
      <c r="AR1146" s="28"/>
      <c r="AS1146" s="28"/>
      <c r="AT1146" s="28"/>
      <c r="AU1146" s="28"/>
      <c r="AV1146" s="28"/>
      <c r="AW1146" s="28"/>
      <c r="AX1146" s="28"/>
      <c r="AY1146" s="28"/>
      <c r="AZ1146" s="28"/>
      <c r="BA1146" s="28"/>
      <c r="BB1146" s="28"/>
      <c r="BC1146" s="28"/>
      <c r="BD1146" s="28"/>
      <c r="BE1146" s="28"/>
      <c r="BF1146" s="28"/>
      <c r="BG1146" s="28"/>
      <c r="BH1146" s="28"/>
      <c r="BI1146" s="28"/>
      <c r="BJ1146" s="28"/>
      <c r="BK1146" s="28"/>
      <c r="BL1146" s="28"/>
    </row>
    <row r="1147" spans="1:64" ht="12.75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  <c r="P1147" s="28"/>
      <c r="Q1147" s="28"/>
      <c r="R1147" s="28"/>
      <c r="S1147" s="28"/>
      <c r="T1147" s="28"/>
      <c r="U1147" s="28"/>
      <c r="V1147" s="28"/>
      <c r="W1147" s="28"/>
      <c r="X1147" s="28"/>
      <c r="Y1147" s="28"/>
      <c r="Z1147" s="28"/>
      <c r="AA1147" s="28"/>
      <c r="AB1147" s="28"/>
      <c r="AC1147" s="28"/>
      <c r="AD1147" s="28"/>
      <c r="AE1147" s="28"/>
      <c r="AF1147" s="28"/>
      <c r="AG1147" s="28"/>
      <c r="AH1147" s="28"/>
      <c r="AI1147" s="28"/>
      <c r="AJ1147" s="28"/>
      <c r="AK1147" s="28"/>
      <c r="AL1147" s="28"/>
      <c r="AM1147" s="28"/>
      <c r="AN1147" s="28"/>
      <c r="AO1147" s="28"/>
      <c r="AP1147" s="28"/>
      <c r="AQ1147" s="28"/>
      <c r="AR1147" s="28"/>
      <c r="AS1147" s="28"/>
      <c r="AT1147" s="28"/>
      <c r="AU1147" s="28"/>
      <c r="AV1147" s="28"/>
      <c r="AW1147" s="28"/>
      <c r="AX1147" s="28"/>
      <c r="AY1147" s="28"/>
      <c r="AZ1147" s="28"/>
      <c r="BA1147" s="28"/>
      <c r="BB1147" s="28"/>
      <c r="BC1147" s="28"/>
      <c r="BD1147" s="28"/>
      <c r="BE1147" s="28"/>
      <c r="BF1147" s="28"/>
      <c r="BG1147" s="28"/>
      <c r="BH1147" s="28"/>
      <c r="BI1147" s="28"/>
      <c r="BJ1147" s="28"/>
      <c r="BK1147" s="28"/>
      <c r="BL1147" s="28"/>
    </row>
    <row r="1148" spans="1:64" ht="12.75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28"/>
      <c r="L1148" s="28"/>
      <c r="M1148" s="28"/>
      <c r="N1148" s="28"/>
      <c r="O1148" s="28"/>
      <c r="P1148" s="28"/>
      <c r="Q1148" s="28"/>
      <c r="R1148" s="28"/>
      <c r="S1148" s="28"/>
      <c r="T1148" s="28"/>
      <c r="U1148" s="28"/>
      <c r="V1148" s="28"/>
      <c r="W1148" s="28"/>
      <c r="X1148" s="28"/>
      <c r="Y1148" s="28"/>
      <c r="Z1148" s="28"/>
      <c r="AA1148" s="28"/>
      <c r="AB1148" s="28"/>
      <c r="AC1148" s="28"/>
      <c r="AD1148" s="28"/>
      <c r="AE1148" s="28"/>
      <c r="AF1148" s="28"/>
      <c r="AG1148" s="28"/>
      <c r="AH1148" s="28"/>
      <c r="AI1148" s="28"/>
      <c r="AJ1148" s="28"/>
      <c r="AK1148" s="28"/>
      <c r="AL1148" s="28"/>
      <c r="AM1148" s="28"/>
      <c r="AN1148" s="28"/>
      <c r="AO1148" s="28"/>
      <c r="AP1148" s="28"/>
      <c r="AQ1148" s="28"/>
      <c r="AR1148" s="28"/>
      <c r="AS1148" s="28"/>
      <c r="AT1148" s="28"/>
      <c r="AU1148" s="28"/>
      <c r="AV1148" s="28"/>
      <c r="AW1148" s="28"/>
      <c r="AX1148" s="28"/>
      <c r="AY1148" s="28"/>
      <c r="AZ1148" s="28"/>
      <c r="BA1148" s="28"/>
      <c r="BB1148" s="28"/>
      <c r="BC1148" s="28"/>
      <c r="BD1148" s="28"/>
      <c r="BE1148" s="28"/>
      <c r="BF1148" s="28"/>
      <c r="BG1148" s="28"/>
      <c r="BH1148" s="28"/>
      <c r="BI1148" s="28"/>
      <c r="BJ1148" s="28"/>
      <c r="BK1148" s="28"/>
      <c r="BL1148" s="28"/>
    </row>
    <row r="1149" spans="1:64" ht="12.75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28"/>
      <c r="L1149" s="28"/>
      <c r="M1149" s="28"/>
      <c r="N1149" s="28"/>
      <c r="O1149" s="28"/>
      <c r="P1149" s="28"/>
      <c r="Q1149" s="28"/>
      <c r="R1149" s="28"/>
      <c r="S1149" s="28"/>
      <c r="T1149" s="28"/>
      <c r="U1149" s="28"/>
      <c r="V1149" s="28"/>
      <c r="W1149" s="28"/>
      <c r="X1149" s="28"/>
      <c r="Y1149" s="28"/>
      <c r="Z1149" s="28"/>
      <c r="AA1149" s="28"/>
      <c r="AB1149" s="28"/>
      <c r="AC1149" s="28"/>
      <c r="AD1149" s="28"/>
      <c r="AE1149" s="28"/>
      <c r="AF1149" s="28"/>
      <c r="AG1149" s="28"/>
      <c r="AH1149" s="28"/>
      <c r="AI1149" s="28"/>
      <c r="AJ1149" s="28"/>
      <c r="AK1149" s="28"/>
      <c r="AL1149" s="28"/>
      <c r="AM1149" s="28"/>
      <c r="AN1149" s="28"/>
      <c r="AO1149" s="28"/>
      <c r="AP1149" s="28"/>
      <c r="AQ1149" s="28"/>
      <c r="AR1149" s="28"/>
      <c r="AS1149" s="28"/>
      <c r="AT1149" s="28"/>
      <c r="AU1149" s="28"/>
      <c r="AV1149" s="28"/>
      <c r="AW1149" s="28"/>
      <c r="AX1149" s="28"/>
      <c r="AY1149" s="28"/>
      <c r="AZ1149" s="28"/>
      <c r="BA1149" s="28"/>
      <c r="BB1149" s="28"/>
      <c r="BC1149" s="28"/>
      <c r="BD1149" s="28"/>
      <c r="BE1149" s="28"/>
      <c r="BF1149" s="28"/>
      <c r="BG1149" s="28"/>
      <c r="BH1149" s="28"/>
      <c r="BI1149" s="28"/>
      <c r="BJ1149" s="28"/>
      <c r="BK1149" s="28"/>
      <c r="BL1149" s="28"/>
    </row>
    <row r="1150" spans="1:64" ht="12.75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28"/>
      <c r="L1150" s="28"/>
      <c r="M1150" s="28"/>
      <c r="N1150" s="28"/>
      <c r="O1150" s="28"/>
      <c r="P1150" s="28"/>
      <c r="Q1150" s="28"/>
      <c r="R1150" s="28"/>
      <c r="S1150" s="28"/>
      <c r="T1150" s="28"/>
      <c r="U1150" s="28"/>
      <c r="V1150" s="28"/>
      <c r="W1150" s="28"/>
      <c r="X1150" s="28"/>
      <c r="Y1150" s="28"/>
      <c r="Z1150" s="28"/>
      <c r="AA1150" s="28"/>
      <c r="AB1150" s="28"/>
      <c r="AC1150" s="28"/>
      <c r="AD1150" s="28"/>
      <c r="AE1150" s="28"/>
      <c r="AF1150" s="28"/>
      <c r="AG1150" s="28"/>
      <c r="AH1150" s="28"/>
      <c r="AI1150" s="28"/>
      <c r="AJ1150" s="28"/>
      <c r="AK1150" s="28"/>
      <c r="AL1150" s="28"/>
      <c r="AM1150" s="28"/>
      <c r="AN1150" s="28"/>
      <c r="AO1150" s="28"/>
      <c r="AP1150" s="28"/>
      <c r="AQ1150" s="28"/>
      <c r="AR1150" s="28"/>
      <c r="AS1150" s="28"/>
      <c r="AT1150" s="28"/>
      <c r="AU1150" s="28"/>
      <c r="AV1150" s="28"/>
      <c r="AW1150" s="28"/>
      <c r="AX1150" s="28"/>
      <c r="AY1150" s="28"/>
      <c r="AZ1150" s="28"/>
      <c r="BA1150" s="28"/>
      <c r="BB1150" s="28"/>
      <c r="BC1150" s="28"/>
      <c r="BD1150" s="28"/>
      <c r="BE1150" s="28"/>
      <c r="BF1150" s="28"/>
      <c r="BG1150" s="28"/>
      <c r="BH1150" s="28"/>
      <c r="BI1150" s="28"/>
      <c r="BJ1150" s="28"/>
      <c r="BK1150" s="28"/>
      <c r="BL1150" s="28"/>
    </row>
    <row r="1151" spans="1:64" ht="12.75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28"/>
      <c r="L1151" s="28"/>
      <c r="M1151" s="28"/>
      <c r="N1151" s="28"/>
      <c r="O1151" s="28"/>
      <c r="P1151" s="28"/>
      <c r="Q1151" s="28"/>
      <c r="R1151" s="28"/>
      <c r="S1151" s="28"/>
      <c r="T1151" s="28"/>
      <c r="U1151" s="28"/>
      <c r="V1151" s="28"/>
      <c r="W1151" s="28"/>
      <c r="X1151" s="28"/>
      <c r="Y1151" s="28"/>
      <c r="Z1151" s="28"/>
      <c r="AA1151" s="28"/>
      <c r="AB1151" s="28"/>
      <c r="AC1151" s="28"/>
      <c r="AD1151" s="28"/>
      <c r="AE1151" s="28"/>
      <c r="AF1151" s="28"/>
      <c r="AG1151" s="28"/>
      <c r="AH1151" s="28"/>
      <c r="AI1151" s="28"/>
      <c r="AJ1151" s="28"/>
      <c r="AK1151" s="28"/>
      <c r="AL1151" s="28"/>
      <c r="AM1151" s="28"/>
      <c r="AN1151" s="28"/>
      <c r="AO1151" s="28"/>
      <c r="AP1151" s="28"/>
      <c r="AQ1151" s="28"/>
      <c r="AR1151" s="28"/>
      <c r="AS1151" s="28"/>
      <c r="AT1151" s="28"/>
      <c r="AU1151" s="28"/>
      <c r="AV1151" s="28"/>
      <c r="AW1151" s="28"/>
      <c r="AX1151" s="28"/>
      <c r="AY1151" s="28"/>
      <c r="AZ1151" s="28"/>
      <c r="BA1151" s="28"/>
      <c r="BB1151" s="28"/>
      <c r="BC1151" s="28"/>
      <c r="BD1151" s="28"/>
      <c r="BE1151" s="28"/>
      <c r="BF1151" s="28"/>
      <c r="BG1151" s="28"/>
      <c r="BH1151" s="28"/>
      <c r="BI1151" s="28"/>
      <c r="BJ1151" s="28"/>
      <c r="BK1151" s="28"/>
      <c r="BL1151" s="28"/>
    </row>
    <row r="1152" spans="1:64" ht="12.75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  <c r="P1152" s="28"/>
      <c r="Q1152" s="28"/>
      <c r="R1152" s="28"/>
      <c r="S1152" s="28"/>
      <c r="T1152" s="28"/>
      <c r="U1152" s="28"/>
      <c r="V1152" s="28"/>
      <c r="W1152" s="28"/>
      <c r="X1152" s="28"/>
      <c r="Y1152" s="28"/>
      <c r="Z1152" s="28"/>
      <c r="AA1152" s="28"/>
      <c r="AB1152" s="28"/>
      <c r="AC1152" s="28"/>
      <c r="AD1152" s="28"/>
      <c r="AE1152" s="28"/>
      <c r="AF1152" s="28"/>
      <c r="AG1152" s="28"/>
      <c r="AH1152" s="28"/>
      <c r="AI1152" s="28"/>
      <c r="AJ1152" s="28"/>
      <c r="AK1152" s="28"/>
      <c r="AL1152" s="28"/>
      <c r="AM1152" s="28"/>
      <c r="AN1152" s="28"/>
      <c r="AO1152" s="28"/>
      <c r="AP1152" s="28"/>
      <c r="AQ1152" s="28"/>
      <c r="AR1152" s="28"/>
      <c r="AS1152" s="28"/>
      <c r="AT1152" s="28"/>
      <c r="AU1152" s="28"/>
      <c r="AV1152" s="28"/>
      <c r="AW1152" s="28"/>
      <c r="AX1152" s="28"/>
      <c r="AY1152" s="28"/>
      <c r="AZ1152" s="28"/>
      <c r="BA1152" s="28"/>
      <c r="BB1152" s="28"/>
      <c r="BC1152" s="28"/>
      <c r="BD1152" s="28"/>
      <c r="BE1152" s="28"/>
      <c r="BF1152" s="28"/>
      <c r="BG1152" s="28"/>
      <c r="BH1152" s="28"/>
      <c r="BI1152" s="28"/>
      <c r="BJ1152" s="28"/>
      <c r="BK1152" s="28"/>
      <c r="BL1152" s="28"/>
    </row>
    <row r="1153" spans="1:64" ht="12.75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28"/>
      <c r="L1153" s="28"/>
      <c r="M1153" s="28"/>
      <c r="N1153" s="28"/>
      <c r="O1153" s="28"/>
      <c r="P1153" s="28"/>
      <c r="Q1153" s="28"/>
      <c r="R1153" s="28"/>
      <c r="S1153" s="28"/>
      <c r="T1153" s="28"/>
      <c r="U1153" s="28"/>
      <c r="V1153" s="28"/>
      <c r="W1153" s="28"/>
      <c r="X1153" s="28"/>
      <c r="Y1153" s="28"/>
      <c r="Z1153" s="28"/>
      <c r="AA1153" s="28"/>
      <c r="AB1153" s="28"/>
      <c r="AC1153" s="28"/>
      <c r="AD1153" s="28"/>
      <c r="AE1153" s="28"/>
      <c r="AF1153" s="28"/>
      <c r="AG1153" s="28"/>
      <c r="AH1153" s="28"/>
      <c r="AI1153" s="28"/>
      <c r="AJ1153" s="28"/>
      <c r="AK1153" s="28"/>
      <c r="AL1153" s="28"/>
      <c r="AM1153" s="28"/>
      <c r="AN1153" s="28"/>
      <c r="AO1153" s="28"/>
      <c r="AP1153" s="28"/>
      <c r="AQ1153" s="28"/>
      <c r="AR1153" s="28"/>
      <c r="AS1153" s="28"/>
      <c r="AT1153" s="28"/>
      <c r="AU1153" s="28"/>
      <c r="AV1153" s="28"/>
      <c r="AW1153" s="28"/>
      <c r="AX1153" s="28"/>
      <c r="AY1153" s="28"/>
      <c r="AZ1153" s="28"/>
      <c r="BA1153" s="28"/>
      <c r="BB1153" s="28"/>
      <c r="BC1153" s="28"/>
      <c r="BD1153" s="28"/>
      <c r="BE1153" s="28"/>
      <c r="BF1153" s="28"/>
      <c r="BG1153" s="28"/>
      <c r="BH1153" s="28"/>
      <c r="BI1153" s="28"/>
      <c r="BJ1153" s="28"/>
      <c r="BK1153" s="28"/>
      <c r="BL1153" s="28"/>
    </row>
    <row r="1154" spans="1:64" ht="12.75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/>
      <c r="R1154" s="28"/>
      <c r="S1154" s="28"/>
      <c r="T1154" s="28"/>
      <c r="U1154" s="28"/>
      <c r="V1154" s="28"/>
      <c r="W1154" s="28"/>
      <c r="X1154" s="28"/>
      <c r="Y1154" s="28"/>
      <c r="Z1154" s="28"/>
      <c r="AA1154" s="28"/>
      <c r="AB1154" s="28"/>
      <c r="AC1154" s="28"/>
      <c r="AD1154" s="28"/>
      <c r="AE1154" s="28"/>
      <c r="AF1154" s="28"/>
      <c r="AG1154" s="28"/>
      <c r="AH1154" s="28"/>
      <c r="AI1154" s="28"/>
      <c r="AJ1154" s="28"/>
      <c r="AK1154" s="28"/>
      <c r="AL1154" s="28"/>
      <c r="AM1154" s="28"/>
      <c r="AN1154" s="28"/>
      <c r="AO1154" s="28"/>
      <c r="AP1154" s="28"/>
      <c r="AQ1154" s="28"/>
      <c r="AR1154" s="28"/>
      <c r="AS1154" s="28"/>
      <c r="AT1154" s="28"/>
      <c r="AU1154" s="28"/>
      <c r="AV1154" s="28"/>
      <c r="AW1154" s="28"/>
      <c r="AX1154" s="28"/>
      <c r="AY1154" s="28"/>
      <c r="AZ1154" s="28"/>
      <c r="BA1154" s="28"/>
      <c r="BB1154" s="28"/>
      <c r="BC1154" s="28"/>
      <c r="BD1154" s="28"/>
      <c r="BE1154" s="28"/>
      <c r="BF1154" s="28"/>
      <c r="BG1154" s="28"/>
      <c r="BH1154" s="28"/>
      <c r="BI1154" s="28"/>
      <c r="BJ1154" s="28"/>
      <c r="BK1154" s="28"/>
      <c r="BL1154" s="28"/>
    </row>
    <row r="1155" spans="1:64" ht="12.75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  <c r="R1155" s="28"/>
      <c r="S1155" s="28"/>
      <c r="T1155" s="28"/>
      <c r="U1155" s="28"/>
      <c r="V1155" s="28"/>
      <c r="W1155" s="28"/>
      <c r="X1155" s="28"/>
      <c r="Y1155" s="28"/>
      <c r="Z1155" s="28"/>
      <c r="AA1155" s="28"/>
      <c r="AB1155" s="28"/>
      <c r="AC1155" s="28"/>
      <c r="AD1155" s="28"/>
      <c r="AE1155" s="28"/>
      <c r="AF1155" s="28"/>
      <c r="AG1155" s="28"/>
      <c r="AH1155" s="28"/>
      <c r="AI1155" s="28"/>
      <c r="AJ1155" s="28"/>
      <c r="AK1155" s="28"/>
      <c r="AL1155" s="28"/>
      <c r="AM1155" s="28"/>
      <c r="AN1155" s="28"/>
      <c r="AO1155" s="28"/>
      <c r="AP1155" s="28"/>
      <c r="AQ1155" s="28"/>
      <c r="AR1155" s="28"/>
      <c r="AS1155" s="28"/>
      <c r="AT1155" s="28"/>
      <c r="AU1155" s="28"/>
      <c r="AV1155" s="28"/>
      <c r="AW1155" s="28"/>
      <c r="AX1155" s="28"/>
      <c r="AY1155" s="28"/>
      <c r="AZ1155" s="28"/>
      <c r="BA1155" s="28"/>
      <c r="BB1155" s="28"/>
      <c r="BC1155" s="28"/>
      <c r="BD1155" s="28"/>
      <c r="BE1155" s="28"/>
      <c r="BF1155" s="28"/>
      <c r="BG1155" s="28"/>
      <c r="BH1155" s="28"/>
      <c r="BI1155" s="28"/>
      <c r="BJ1155" s="28"/>
      <c r="BK1155" s="28"/>
      <c r="BL1155" s="28"/>
    </row>
    <row r="1156" spans="1:64" ht="12.75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28"/>
      <c r="L1156" s="28"/>
      <c r="M1156" s="28"/>
      <c r="N1156" s="28"/>
      <c r="O1156" s="28"/>
      <c r="P1156" s="28"/>
      <c r="Q1156" s="28"/>
      <c r="R1156" s="28"/>
      <c r="S1156" s="28"/>
      <c r="T1156" s="28"/>
      <c r="U1156" s="28"/>
      <c r="V1156" s="28"/>
      <c r="W1156" s="28"/>
      <c r="X1156" s="28"/>
      <c r="Y1156" s="28"/>
      <c r="Z1156" s="28"/>
      <c r="AA1156" s="28"/>
      <c r="AB1156" s="28"/>
      <c r="AC1156" s="28"/>
      <c r="AD1156" s="28"/>
      <c r="AE1156" s="28"/>
      <c r="AF1156" s="28"/>
      <c r="AG1156" s="28"/>
      <c r="AH1156" s="28"/>
      <c r="AI1156" s="28"/>
      <c r="AJ1156" s="28"/>
      <c r="AK1156" s="28"/>
      <c r="AL1156" s="28"/>
      <c r="AM1156" s="28"/>
      <c r="AN1156" s="28"/>
      <c r="AO1156" s="28"/>
      <c r="AP1156" s="28"/>
      <c r="AQ1156" s="28"/>
      <c r="AR1156" s="28"/>
      <c r="AS1156" s="28"/>
      <c r="AT1156" s="28"/>
      <c r="AU1156" s="28"/>
      <c r="AV1156" s="28"/>
      <c r="AW1156" s="28"/>
      <c r="AX1156" s="28"/>
      <c r="AY1156" s="28"/>
      <c r="AZ1156" s="28"/>
      <c r="BA1156" s="28"/>
      <c r="BB1156" s="28"/>
      <c r="BC1156" s="28"/>
      <c r="BD1156" s="28"/>
      <c r="BE1156" s="28"/>
      <c r="BF1156" s="28"/>
      <c r="BG1156" s="28"/>
      <c r="BH1156" s="28"/>
      <c r="BI1156" s="28"/>
      <c r="BJ1156" s="28"/>
      <c r="BK1156" s="28"/>
      <c r="BL1156" s="28"/>
    </row>
    <row r="1157" spans="1:64" ht="12.75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  <c r="R1157" s="28"/>
      <c r="S1157" s="28"/>
      <c r="T1157" s="28"/>
      <c r="U1157" s="28"/>
      <c r="V1157" s="28"/>
      <c r="W1157" s="28"/>
      <c r="X1157" s="28"/>
      <c r="Y1157" s="28"/>
      <c r="Z1157" s="28"/>
      <c r="AA1157" s="28"/>
      <c r="AB1157" s="28"/>
      <c r="AC1157" s="28"/>
      <c r="AD1157" s="28"/>
      <c r="AE1157" s="28"/>
      <c r="AF1157" s="28"/>
      <c r="AG1157" s="28"/>
      <c r="AH1157" s="28"/>
      <c r="AI1157" s="28"/>
      <c r="AJ1157" s="28"/>
      <c r="AK1157" s="28"/>
      <c r="AL1157" s="28"/>
      <c r="AM1157" s="28"/>
      <c r="AN1157" s="28"/>
      <c r="AO1157" s="28"/>
      <c r="AP1157" s="28"/>
      <c r="AQ1157" s="28"/>
      <c r="AR1157" s="28"/>
      <c r="AS1157" s="28"/>
      <c r="AT1157" s="28"/>
      <c r="AU1157" s="28"/>
      <c r="AV1157" s="28"/>
      <c r="AW1157" s="28"/>
      <c r="AX1157" s="28"/>
      <c r="AY1157" s="28"/>
      <c r="AZ1157" s="28"/>
      <c r="BA1157" s="28"/>
      <c r="BB1157" s="28"/>
      <c r="BC1157" s="28"/>
      <c r="BD1157" s="28"/>
      <c r="BE1157" s="28"/>
      <c r="BF1157" s="28"/>
      <c r="BG1157" s="28"/>
      <c r="BH1157" s="28"/>
      <c r="BI1157" s="28"/>
      <c r="BJ1157" s="28"/>
      <c r="BK1157" s="28"/>
      <c r="BL1157" s="28"/>
    </row>
    <row r="1158" spans="1:64" ht="12.75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  <c r="P1158" s="28"/>
      <c r="Q1158" s="28"/>
      <c r="R1158" s="28"/>
      <c r="S1158" s="28"/>
      <c r="T1158" s="28"/>
      <c r="U1158" s="28"/>
      <c r="V1158" s="28"/>
      <c r="W1158" s="28"/>
      <c r="X1158" s="28"/>
      <c r="Y1158" s="28"/>
      <c r="Z1158" s="28"/>
      <c r="AA1158" s="28"/>
      <c r="AB1158" s="28"/>
      <c r="AC1158" s="28"/>
      <c r="AD1158" s="28"/>
      <c r="AE1158" s="28"/>
      <c r="AF1158" s="28"/>
      <c r="AG1158" s="28"/>
      <c r="AH1158" s="28"/>
      <c r="AI1158" s="28"/>
      <c r="AJ1158" s="28"/>
      <c r="AK1158" s="28"/>
      <c r="AL1158" s="28"/>
      <c r="AM1158" s="28"/>
      <c r="AN1158" s="28"/>
      <c r="AO1158" s="28"/>
      <c r="AP1158" s="28"/>
      <c r="AQ1158" s="28"/>
      <c r="AR1158" s="28"/>
      <c r="AS1158" s="28"/>
      <c r="AT1158" s="28"/>
      <c r="AU1158" s="28"/>
      <c r="AV1158" s="28"/>
      <c r="AW1158" s="28"/>
      <c r="AX1158" s="28"/>
      <c r="AY1158" s="28"/>
      <c r="AZ1158" s="28"/>
      <c r="BA1158" s="28"/>
      <c r="BB1158" s="28"/>
      <c r="BC1158" s="28"/>
      <c r="BD1158" s="28"/>
      <c r="BE1158" s="28"/>
      <c r="BF1158" s="28"/>
      <c r="BG1158" s="28"/>
      <c r="BH1158" s="28"/>
      <c r="BI1158" s="28"/>
      <c r="BJ1158" s="28"/>
      <c r="BK1158" s="28"/>
      <c r="BL1158" s="28"/>
    </row>
    <row r="1159" spans="1:64" ht="12.75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28"/>
      <c r="Q1159" s="28"/>
      <c r="R1159" s="28"/>
      <c r="S1159" s="28"/>
      <c r="T1159" s="28"/>
      <c r="U1159" s="28"/>
      <c r="V1159" s="28"/>
      <c r="W1159" s="28"/>
      <c r="X1159" s="28"/>
      <c r="Y1159" s="28"/>
      <c r="Z1159" s="28"/>
      <c r="AA1159" s="28"/>
      <c r="AB1159" s="28"/>
      <c r="AC1159" s="28"/>
      <c r="AD1159" s="28"/>
      <c r="AE1159" s="28"/>
      <c r="AF1159" s="28"/>
      <c r="AG1159" s="28"/>
      <c r="AH1159" s="28"/>
      <c r="AI1159" s="28"/>
      <c r="AJ1159" s="28"/>
      <c r="AK1159" s="28"/>
      <c r="AL1159" s="28"/>
      <c r="AM1159" s="28"/>
      <c r="AN1159" s="28"/>
      <c r="AO1159" s="28"/>
      <c r="AP1159" s="28"/>
      <c r="AQ1159" s="28"/>
      <c r="AR1159" s="28"/>
      <c r="AS1159" s="28"/>
      <c r="AT1159" s="28"/>
      <c r="AU1159" s="28"/>
      <c r="AV1159" s="28"/>
      <c r="AW1159" s="28"/>
      <c r="AX1159" s="28"/>
      <c r="AY1159" s="28"/>
      <c r="AZ1159" s="28"/>
      <c r="BA1159" s="28"/>
      <c r="BB1159" s="28"/>
      <c r="BC1159" s="28"/>
      <c r="BD1159" s="28"/>
      <c r="BE1159" s="28"/>
      <c r="BF1159" s="28"/>
      <c r="BG1159" s="28"/>
      <c r="BH1159" s="28"/>
      <c r="BI1159" s="28"/>
      <c r="BJ1159" s="28"/>
      <c r="BK1159" s="28"/>
      <c r="BL1159" s="28"/>
    </row>
    <row r="1160" spans="1:64" ht="12.75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28"/>
      <c r="L1160" s="28"/>
      <c r="M1160" s="28"/>
      <c r="N1160" s="28"/>
      <c r="O1160" s="28"/>
      <c r="P1160" s="28"/>
      <c r="Q1160" s="28"/>
      <c r="R1160" s="28"/>
      <c r="S1160" s="28"/>
      <c r="T1160" s="28"/>
      <c r="U1160" s="28"/>
      <c r="V1160" s="28"/>
      <c r="W1160" s="28"/>
      <c r="X1160" s="28"/>
      <c r="Y1160" s="28"/>
      <c r="Z1160" s="28"/>
      <c r="AA1160" s="28"/>
      <c r="AB1160" s="28"/>
      <c r="AC1160" s="28"/>
      <c r="AD1160" s="28"/>
      <c r="AE1160" s="28"/>
      <c r="AF1160" s="28"/>
      <c r="AG1160" s="28"/>
      <c r="AH1160" s="28"/>
      <c r="AI1160" s="28"/>
      <c r="AJ1160" s="28"/>
      <c r="AK1160" s="28"/>
      <c r="AL1160" s="28"/>
      <c r="AM1160" s="28"/>
      <c r="AN1160" s="28"/>
      <c r="AO1160" s="28"/>
      <c r="AP1160" s="28"/>
      <c r="AQ1160" s="28"/>
      <c r="AR1160" s="28"/>
      <c r="AS1160" s="28"/>
      <c r="AT1160" s="28"/>
      <c r="AU1160" s="28"/>
      <c r="AV1160" s="28"/>
      <c r="AW1160" s="28"/>
      <c r="AX1160" s="28"/>
      <c r="AY1160" s="28"/>
      <c r="AZ1160" s="28"/>
      <c r="BA1160" s="28"/>
      <c r="BB1160" s="28"/>
      <c r="BC1160" s="28"/>
      <c r="BD1160" s="28"/>
      <c r="BE1160" s="28"/>
      <c r="BF1160" s="28"/>
      <c r="BG1160" s="28"/>
      <c r="BH1160" s="28"/>
      <c r="BI1160" s="28"/>
      <c r="BJ1160" s="28"/>
      <c r="BK1160" s="28"/>
      <c r="BL1160" s="28"/>
    </row>
    <row r="1161" spans="1:64" ht="12.75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28"/>
      <c r="L1161" s="28"/>
      <c r="M1161" s="28"/>
      <c r="N1161" s="28"/>
      <c r="O1161" s="28"/>
      <c r="P1161" s="28"/>
      <c r="Q1161" s="28"/>
      <c r="R1161" s="28"/>
      <c r="S1161" s="28"/>
      <c r="T1161" s="28"/>
      <c r="U1161" s="28"/>
      <c r="V1161" s="28"/>
      <c r="W1161" s="28"/>
      <c r="X1161" s="28"/>
      <c r="Y1161" s="28"/>
      <c r="Z1161" s="28"/>
      <c r="AA1161" s="28"/>
      <c r="AB1161" s="28"/>
      <c r="AC1161" s="28"/>
      <c r="AD1161" s="28"/>
      <c r="AE1161" s="28"/>
      <c r="AF1161" s="28"/>
      <c r="AG1161" s="28"/>
      <c r="AH1161" s="28"/>
      <c r="AI1161" s="28"/>
      <c r="AJ1161" s="28"/>
      <c r="AK1161" s="28"/>
      <c r="AL1161" s="28"/>
      <c r="AM1161" s="28"/>
      <c r="AN1161" s="28"/>
      <c r="AO1161" s="28"/>
      <c r="AP1161" s="28"/>
      <c r="AQ1161" s="28"/>
      <c r="AR1161" s="28"/>
      <c r="AS1161" s="28"/>
      <c r="AT1161" s="28"/>
      <c r="AU1161" s="28"/>
      <c r="AV1161" s="28"/>
      <c r="AW1161" s="28"/>
      <c r="AX1161" s="28"/>
      <c r="AY1161" s="28"/>
      <c r="AZ1161" s="28"/>
      <c r="BA1161" s="28"/>
      <c r="BB1161" s="28"/>
      <c r="BC1161" s="28"/>
      <c r="BD1161" s="28"/>
      <c r="BE1161" s="28"/>
      <c r="BF1161" s="28"/>
      <c r="BG1161" s="28"/>
      <c r="BH1161" s="28"/>
      <c r="BI1161" s="28"/>
      <c r="BJ1161" s="28"/>
      <c r="BK1161" s="28"/>
      <c r="BL1161" s="28"/>
    </row>
    <row r="1162" spans="1:64" ht="12.75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28"/>
      <c r="L1162" s="28"/>
      <c r="M1162" s="28"/>
      <c r="N1162" s="28"/>
      <c r="O1162" s="28"/>
      <c r="P1162" s="28"/>
      <c r="Q1162" s="28"/>
      <c r="R1162" s="28"/>
      <c r="S1162" s="28"/>
      <c r="T1162" s="28"/>
      <c r="U1162" s="28"/>
      <c r="V1162" s="28"/>
      <c r="W1162" s="28"/>
      <c r="X1162" s="28"/>
      <c r="Y1162" s="28"/>
      <c r="Z1162" s="28"/>
      <c r="AA1162" s="28"/>
      <c r="AB1162" s="28"/>
      <c r="AC1162" s="28"/>
      <c r="AD1162" s="28"/>
      <c r="AE1162" s="28"/>
      <c r="AF1162" s="28"/>
      <c r="AG1162" s="28"/>
      <c r="AH1162" s="28"/>
      <c r="AI1162" s="28"/>
      <c r="AJ1162" s="28"/>
      <c r="AK1162" s="28"/>
      <c r="AL1162" s="28"/>
      <c r="AM1162" s="28"/>
      <c r="AN1162" s="28"/>
      <c r="AO1162" s="28"/>
      <c r="AP1162" s="28"/>
      <c r="AQ1162" s="28"/>
      <c r="AR1162" s="28"/>
      <c r="AS1162" s="28"/>
      <c r="AT1162" s="28"/>
      <c r="AU1162" s="28"/>
      <c r="AV1162" s="28"/>
      <c r="AW1162" s="28"/>
      <c r="AX1162" s="28"/>
      <c r="AY1162" s="28"/>
      <c r="AZ1162" s="28"/>
      <c r="BA1162" s="28"/>
      <c r="BB1162" s="28"/>
      <c r="BC1162" s="28"/>
      <c r="BD1162" s="28"/>
      <c r="BE1162" s="28"/>
      <c r="BF1162" s="28"/>
      <c r="BG1162" s="28"/>
      <c r="BH1162" s="28"/>
      <c r="BI1162" s="28"/>
      <c r="BJ1162" s="28"/>
      <c r="BK1162" s="28"/>
      <c r="BL1162" s="28"/>
    </row>
    <row r="1163" spans="1:64" ht="12.75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28"/>
      <c r="L1163" s="28"/>
      <c r="M1163" s="28"/>
      <c r="N1163" s="28"/>
      <c r="O1163" s="28"/>
      <c r="P1163" s="28"/>
      <c r="Q1163" s="28"/>
      <c r="R1163" s="28"/>
      <c r="S1163" s="28"/>
      <c r="T1163" s="28"/>
      <c r="U1163" s="28"/>
      <c r="V1163" s="28"/>
      <c r="W1163" s="28"/>
      <c r="X1163" s="28"/>
      <c r="Y1163" s="28"/>
      <c r="Z1163" s="28"/>
      <c r="AA1163" s="28"/>
      <c r="AB1163" s="28"/>
      <c r="AC1163" s="28"/>
      <c r="AD1163" s="28"/>
      <c r="AE1163" s="28"/>
      <c r="AF1163" s="28"/>
      <c r="AG1163" s="28"/>
      <c r="AH1163" s="28"/>
      <c r="AI1163" s="28"/>
      <c r="AJ1163" s="28"/>
      <c r="AK1163" s="28"/>
      <c r="AL1163" s="28"/>
      <c r="AM1163" s="28"/>
      <c r="AN1163" s="28"/>
      <c r="AO1163" s="28"/>
      <c r="AP1163" s="28"/>
      <c r="AQ1163" s="28"/>
      <c r="AR1163" s="28"/>
      <c r="AS1163" s="28"/>
      <c r="AT1163" s="28"/>
      <c r="AU1163" s="28"/>
      <c r="AV1163" s="28"/>
      <c r="AW1163" s="28"/>
      <c r="AX1163" s="28"/>
      <c r="AY1163" s="28"/>
      <c r="AZ1163" s="28"/>
      <c r="BA1163" s="28"/>
      <c r="BB1163" s="28"/>
      <c r="BC1163" s="28"/>
      <c r="BD1163" s="28"/>
      <c r="BE1163" s="28"/>
      <c r="BF1163" s="28"/>
      <c r="BG1163" s="28"/>
      <c r="BH1163" s="28"/>
      <c r="BI1163" s="28"/>
      <c r="BJ1163" s="28"/>
      <c r="BK1163" s="28"/>
      <c r="BL1163" s="28"/>
    </row>
    <row r="1164" spans="1:64" ht="12.75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28"/>
      <c r="L1164" s="28"/>
      <c r="M1164" s="28"/>
      <c r="N1164" s="28"/>
      <c r="O1164" s="28"/>
      <c r="P1164" s="28"/>
      <c r="Q1164" s="28"/>
      <c r="R1164" s="28"/>
      <c r="S1164" s="28"/>
      <c r="T1164" s="28"/>
      <c r="U1164" s="28"/>
      <c r="V1164" s="28"/>
      <c r="W1164" s="28"/>
      <c r="X1164" s="28"/>
      <c r="Y1164" s="28"/>
      <c r="Z1164" s="28"/>
      <c r="AA1164" s="28"/>
      <c r="AB1164" s="28"/>
      <c r="AC1164" s="28"/>
      <c r="AD1164" s="28"/>
      <c r="AE1164" s="28"/>
      <c r="AF1164" s="28"/>
      <c r="AG1164" s="28"/>
      <c r="AH1164" s="28"/>
      <c r="AI1164" s="28"/>
      <c r="AJ1164" s="28"/>
      <c r="AK1164" s="28"/>
      <c r="AL1164" s="28"/>
      <c r="AM1164" s="28"/>
      <c r="AN1164" s="28"/>
      <c r="AO1164" s="28"/>
      <c r="AP1164" s="28"/>
      <c r="AQ1164" s="28"/>
      <c r="AR1164" s="28"/>
      <c r="AS1164" s="28"/>
      <c r="AT1164" s="28"/>
      <c r="AU1164" s="28"/>
      <c r="AV1164" s="28"/>
      <c r="AW1164" s="28"/>
      <c r="AX1164" s="28"/>
      <c r="AY1164" s="28"/>
      <c r="AZ1164" s="28"/>
      <c r="BA1164" s="28"/>
      <c r="BB1164" s="28"/>
      <c r="BC1164" s="28"/>
      <c r="BD1164" s="28"/>
      <c r="BE1164" s="28"/>
      <c r="BF1164" s="28"/>
      <c r="BG1164" s="28"/>
      <c r="BH1164" s="28"/>
      <c r="BI1164" s="28"/>
      <c r="BJ1164" s="28"/>
      <c r="BK1164" s="28"/>
      <c r="BL1164" s="28"/>
    </row>
    <row r="1165" spans="1:64" ht="12.75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28"/>
      <c r="L1165" s="28"/>
      <c r="M1165" s="28"/>
      <c r="N1165" s="28"/>
      <c r="O1165" s="28"/>
      <c r="P1165" s="28"/>
      <c r="Q1165" s="28"/>
      <c r="R1165" s="28"/>
      <c r="S1165" s="28"/>
      <c r="T1165" s="28"/>
      <c r="U1165" s="28"/>
      <c r="V1165" s="28"/>
      <c r="W1165" s="28"/>
      <c r="X1165" s="28"/>
      <c r="Y1165" s="28"/>
      <c r="Z1165" s="28"/>
      <c r="AA1165" s="28"/>
      <c r="AB1165" s="28"/>
      <c r="AC1165" s="28"/>
      <c r="AD1165" s="28"/>
      <c r="AE1165" s="28"/>
      <c r="AF1165" s="28"/>
      <c r="AG1165" s="28"/>
      <c r="AH1165" s="28"/>
      <c r="AI1165" s="28"/>
      <c r="AJ1165" s="28"/>
      <c r="AK1165" s="28"/>
      <c r="AL1165" s="28"/>
      <c r="AM1165" s="28"/>
      <c r="AN1165" s="28"/>
      <c r="AO1165" s="28"/>
      <c r="AP1165" s="28"/>
      <c r="AQ1165" s="28"/>
      <c r="AR1165" s="28"/>
      <c r="AS1165" s="28"/>
      <c r="AT1165" s="28"/>
      <c r="AU1165" s="28"/>
      <c r="AV1165" s="28"/>
      <c r="AW1165" s="28"/>
      <c r="AX1165" s="28"/>
      <c r="AY1165" s="28"/>
      <c r="AZ1165" s="28"/>
      <c r="BA1165" s="28"/>
      <c r="BB1165" s="28"/>
      <c r="BC1165" s="28"/>
      <c r="BD1165" s="28"/>
      <c r="BE1165" s="28"/>
      <c r="BF1165" s="28"/>
      <c r="BG1165" s="28"/>
      <c r="BH1165" s="28"/>
      <c r="BI1165" s="28"/>
      <c r="BJ1165" s="28"/>
      <c r="BK1165" s="28"/>
      <c r="BL1165" s="28"/>
    </row>
    <row r="1166" spans="1:64" ht="12.75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28"/>
      <c r="L1166" s="28"/>
      <c r="M1166" s="28"/>
      <c r="N1166" s="28"/>
      <c r="O1166" s="28"/>
      <c r="P1166" s="28"/>
      <c r="Q1166" s="28"/>
      <c r="R1166" s="28"/>
      <c r="S1166" s="28"/>
      <c r="T1166" s="28"/>
      <c r="U1166" s="28"/>
      <c r="V1166" s="28"/>
      <c r="W1166" s="28"/>
      <c r="X1166" s="28"/>
      <c r="Y1166" s="28"/>
      <c r="Z1166" s="28"/>
      <c r="AA1166" s="28"/>
      <c r="AB1166" s="28"/>
      <c r="AC1166" s="28"/>
      <c r="AD1166" s="28"/>
      <c r="AE1166" s="28"/>
      <c r="AF1166" s="28"/>
      <c r="AG1166" s="28"/>
      <c r="AH1166" s="28"/>
      <c r="AI1166" s="28"/>
      <c r="AJ1166" s="28"/>
      <c r="AK1166" s="28"/>
      <c r="AL1166" s="28"/>
      <c r="AM1166" s="28"/>
      <c r="AN1166" s="28"/>
      <c r="AO1166" s="28"/>
      <c r="AP1166" s="28"/>
      <c r="AQ1166" s="28"/>
      <c r="AR1166" s="28"/>
      <c r="AS1166" s="28"/>
      <c r="AT1166" s="28"/>
      <c r="AU1166" s="28"/>
      <c r="AV1166" s="28"/>
      <c r="AW1166" s="28"/>
      <c r="AX1166" s="28"/>
      <c r="AY1166" s="28"/>
      <c r="AZ1166" s="28"/>
      <c r="BA1166" s="28"/>
      <c r="BB1166" s="28"/>
      <c r="BC1166" s="28"/>
      <c r="BD1166" s="28"/>
      <c r="BE1166" s="28"/>
      <c r="BF1166" s="28"/>
      <c r="BG1166" s="28"/>
      <c r="BH1166" s="28"/>
      <c r="BI1166" s="28"/>
      <c r="BJ1166" s="28"/>
      <c r="BK1166" s="28"/>
      <c r="BL1166" s="28"/>
    </row>
    <row r="1167" spans="1:64" ht="12.75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28"/>
      <c r="L1167" s="28"/>
      <c r="M1167" s="28"/>
      <c r="N1167" s="28"/>
      <c r="O1167" s="28"/>
      <c r="P1167" s="28"/>
      <c r="Q1167" s="28"/>
      <c r="R1167" s="28"/>
      <c r="S1167" s="28"/>
      <c r="T1167" s="28"/>
      <c r="U1167" s="28"/>
      <c r="V1167" s="28"/>
      <c r="W1167" s="28"/>
      <c r="X1167" s="28"/>
      <c r="Y1167" s="28"/>
      <c r="Z1167" s="28"/>
      <c r="AA1167" s="28"/>
      <c r="AB1167" s="28"/>
      <c r="AC1167" s="28"/>
      <c r="AD1167" s="28"/>
      <c r="AE1167" s="28"/>
      <c r="AF1167" s="28"/>
      <c r="AG1167" s="28"/>
      <c r="AH1167" s="28"/>
      <c r="AI1167" s="28"/>
      <c r="AJ1167" s="28"/>
      <c r="AK1167" s="28"/>
      <c r="AL1167" s="28"/>
      <c r="AM1167" s="28"/>
      <c r="AN1167" s="28"/>
      <c r="AO1167" s="28"/>
      <c r="AP1167" s="28"/>
      <c r="AQ1167" s="28"/>
      <c r="AR1167" s="28"/>
      <c r="AS1167" s="28"/>
      <c r="AT1167" s="28"/>
      <c r="AU1167" s="28"/>
      <c r="AV1167" s="28"/>
      <c r="AW1167" s="28"/>
      <c r="AX1167" s="28"/>
      <c r="AY1167" s="28"/>
      <c r="AZ1167" s="28"/>
      <c r="BA1167" s="28"/>
      <c r="BB1167" s="28"/>
      <c r="BC1167" s="28"/>
      <c r="BD1167" s="28"/>
      <c r="BE1167" s="28"/>
      <c r="BF1167" s="28"/>
      <c r="BG1167" s="28"/>
      <c r="BH1167" s="28"/>
      <c r="BI1167" s="28"/>
      <c r="BJ1167" s="28"/>
      <c r="BK1167" s="28"/>
      <c r="BL1167" s="28"/>
    </row>
    <row r="1168" spans="1:64" ht="12.75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28"/>
      <c r="L1168" s="28"/>
      <c r="M1168" s="28"/>
      <c r="N1168" s="28"/>
      <c r="O1168" s="28"/>
      <c r="P1168" s="28"/>
      <c r="Q1168" s="28"/>
      <c r="R1168" s="28"/>
      <c r="S1168" s="28"/>
      <c r="T1168" s="28"/>
      <c r="U1168" s="28"/>
      <c r="V1168" s="28"/>
      <c r="W1168" s="28"/>
      <c r="X1168" s="28"/>
      <c r="Y1168" s="28"/>
      <c r="Z1168" s="28"/>
      <c r="AA1168" s="28"/>
      <c r="AB1168" s="28"/>
      <c r="AC1168" s="28"/>
      <c r="AD1168" s="28"/>
      <c r="AE1168" s="28"/>
      <c r="AF1168" s="28"/>
      <c r="AG1168" s="28"/>
      <c r="AH1168" s="28"/>
      <c r="AI1168" s="28"/>
      <c r="AJ1168" s="28"/>
      <c r="AK1168" s="28"/>
      <c r="AL1168" s="28"/>
      <c r="AM1168" s="28"/>
      <c r="AN1168" s="28"/>
      <c r="AO1168" s="28"/>
      <c r="AP1168" s="28"/>
      <c r="AQ1168" s="28"/>
      <c r="AR1168" s="28"/>
      <c r="AS1168" s="28"/>
      <c r="AT1168" s="28"/>
      <c r="AU1168" s="28"/>
      <c r="AV1168" s="28"/>
      <c r="AW1168" s="28"/>
      <c r="AX1168" s="28"/>
      <c r="AY1168" s="28"/>
      <c r="AZ1168" s="28"/>
      <c r="BA1168" s="28"/>
      <c r="BB1168" s="28"/>
      <c r="BC1168" s="28"/>
      <c r="BD1168" s="28"/>
      <c r="BE1168" s="28"/>
      <c r="BF1168" s="28"/>
      <c r="BG1168" s="28"/>
      <c r="BH1168" s="28"/>
      <c r="BI1168" s="28"/>
      <c r="BJ1168" s="28"/>
      <c r="BK1168" s="28"/>
      <c r="BL1168" s="28"/>
    </row>
    <row r="1169" spans="1:64" ht="12.75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28"/>
      <c r="L1169" s="28"/>
      <c r="M1169" s="28"/>
      <c r="N1169" s="28"/>
      <c r="O1169" s="28"/>
      <c r="P1169" s="28"/>
      <c r="Q1169" s="28"/>
      <c r="R1169" s="28"/>
      <c r="S1169" s="28"/>
      <c r="T1169" s="28"/>
      <c r="U1169" s="28"/>
      <c r="V1169" s="28"/>
      <c r="W1169" s="28"/>
      <c r="X1169" s="28"/>
      <c r="Y1169" s="28"/>
      <c r="Z1169" s="28"/>
      <c r="AA1169" s="28"/>
      <c r="AB1169" s="28"/>
      <c r="AC1169" s="28"/>
      <c r="AD1169" s="28"/>
      <c r="AE1169" s="28"/>
      <c r="AF1169" s="28"/>
      <c r="AG1169" s="28"/>
      <c r="AH1169" s="28"/>
      <c r="AI1169" s="28"/>
      <c r="AJ1169" s="28"/>
      <c r="AK1169" s="28"/>
      <c r="AL1169" s="28"/>
      <c r="AM1169" s="28"/>
      <c r="AN1169" s="28"/>
      <c r="AO1169" s="28"/>
      <c r="AP1169" s="28"/>
      <c r="AQ1169" s="28"/>
      <c r="AR1169" s="28"/>
      <c r="AS1169" s="28"/>
      <c r="AT1169" s="28"/>
      <c r="AU1169" s="28"/>
      <c r="AV1169" s="28"/>
      <c r="AW1169" s="28"/>
      <c r="AX1169" s="28"/>
      <c r="AY1169" s="28"/>
      <c r="AZ1169" s="28"/>
      <c r="BA1169" s="28"/>
      <c r="BB1169" s="28"/>
      <c r="BC1169" s="28"/>
      <c r="BD1169" s="28"/>
      <c r="BE1169" s="28"/>
      <c r="BF1169" s="28"/>
      <c r="BG1169" s="28"/>
      <c r="BH1169" s="28"/>
      <c r="BI1169" s="28"/>
      <c r="BJ1169" s="28"/>
      <c r="BK1169" s="28"/>
      <c r="BL1169" s="28"/>
    </row>
    <row r="1170" spans="1:64" ht="12.75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  <c r="P1170" s="28"/>
      <c r="Q1170" s="28"/>
      <c r="R1170" s="28"/>
      <c r="S1170" s="28"/>
      <c r="T1170" s="28"/>
      <c r="U1170" s="28"/>
      <c r="V1170" s="28"/>
      <c r="W1170" s="28"/>
      <c r="X1170" s="28"/>
      <c r="Y1170" s="28"/>
      <c r="Z1170" s="28"/>
      <c r="AA1170" s="28"/>
      <c r="AB1170" s="28"/>
      <c r="AC1170" s="28"/>
      <c r="AD1170" s="28"/>
      <c r="AE1170" s="28"/>
      <c r="AF1170" s="28"/>
      <c r="AG1170" s="28"/>
      <c r="AH1170" s="28"/>
      <c r="AI1170" s="28"/>
      <c r="AJ1170" s="28"/>
      <c r="AK1170" s="28"/>
      <c r="AL1170" s="28"/>
      <c r="AM1170" s="28"/>
      <c r="AN1170" s="28"/>
      <c r="AO1170" s="28"/>
      <c r="AP1170" s="28"/>
      <c r="AQ1170" s="28"/>
      <c r="AR1170" s="28"/>
      <c r="AS1170" s="28"/>
      <c r="AT1170" s="28"/>
      <c r="AU1170" s="28"/>
      <c r="AV1170" s="28"/>
      <c r="AW1170" s="28"/>
      <c r="AX1170" s="28"/>
      <c r="AY1170" s="28"/>
      <c r="AZ1170" s="28"/>
      <c r="BA1170" s="28"/>
      <c r="BB1170" s="28"/>
      <c r="BC1170" s="28"/>
      <c r="BD1170" s="28"/>
      <c r="BE1170" s="28"/>
      <c r="BF1170" s="28"/>
      <c r="BG1170" s="28"/>
      <c r="BH1170" s="28"/>
      <c r="BI1170" s="28"/>
      <c r="BJ1170" s="28"/>
      <c r="BK1170" s="28"/>
      <c r="BL1170" s="28"/>
    </row>
    <row r="1171" spans="1:64" ht="12.75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  <c r="P1171" s="28"/>
      <c r="Q1171" s="28"/>
      <c r="R1171" s="28"/>
      <c r="S1171" s="28"/>
      <c r="T1171" s="28"/>
      <c r="U1171" s="28"/>
      <c r="V1171" s="28"/>
      <c r="W1171" s="28"/>
      <c r="X1171" s="28"/>
      <c r="Y1171" s="28"/>
      <c r="Z1171" s="28"/>
      <c r="AA1171" s="28"/>
      <c r="AB1171" s="28"/>
      <c r="AC1171" s="28"/>
      <c r="AD1171" s="28"/>
      <c r="AE1171" s="28"/>
      <c r="AF1171" s="28"/>
      <c r="AG1171" s="28"/>
      <c r="AH1171" s="28"/>
      <c r="AI1171" s="28"/>
      <c r="AJ1171" s="28"/>
      <c r="AK1171" s="28"/>
      <c r="AL1171" s="28"/>
      <c r="AM1171" s="28"/>
      <c r="AN1171" s="28"/>
      <c r="AO1171" s="28"/>
      <c r="AP1171" s="28"/>
      <c r="AQ1171" s="28"/>
      <c r="AR1171" s="28"/>
      <c r="AS1171" s="28"/>
      <c r="AT1171" s="28"/>
      <c r="AU1171" s="28"/>
      <c r="AV1171" s="28"/>
      <c r="AW1171" s="28"/>
      <c r="AX1171" s="28"/>
      <c r="AY1171" s="28"/>
      <c r="AZ1171" s="28"/>
      <c r="BA1171" s="28"/>
      <c r="BB1171" s="28"/>
      <c r="BC1171" s="28"/>
      <c r="BD1171" s="28"/>
      <c r="BE1171" s="28"/>
      <c r="BF1171" s="28"/>
      <c r="BG1171" s="28"/>
      <c r="BH1171" s="28"/>
      <c r="BI1171" s="28"/>
      <c r="BJ1171" s="28"/>
      <c r="BK1171" s="28"/>
      <c r="BL1171" s="28"/>
    </row>
    <row r="1172" spans="1:64" ht="12.75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28"/>
      <c r="L1172" s="28"/>
      <c r="M1172" s="28"/>
      <c r="N1172" s="28"/>
      <c r="O1172" s="28"/>
      <c r="P1172" s="28"/>
      <c r="Q1172" s="28"/>
      <c r="R1172" s="28"/>
      <c r="S1172" s="28"/>
      <c r="T1172" s="28"/>
      <c r="U1172" s="28"/>
      <c r="V1172" s="28"/>
      <c r="W1172" s="28"/>
      <c r="X1172" s="28"/>
      <c r="Y1172" s="28"/>
      <c r="Z1172" s="28"/>
      <c r="AA1172" s="28"/>
      <c r="AB1172" s="28"/>
      <c r="AC1172" s="28"/>
      <c r="AD1172" s="28"/>
      <c r="AE1172" s="28"/>
      <c r="AF1172" s="28"/>
      <c r="AG1172" s="28"/>
      <c r="AH1172" s="28"/>
      <c r="AI1172" s="28"/>
      <c r="AJ1172" s="28"/>
      <c r="AK1172" s="28"/>
      <c r="AL1172" s="28"/>
      <c r="AM1172" s="28"/>
      <c r="AN1172" s="28"/>
      <c r="AO1172" s="28"/>
      <c r="AP1172" s="28"/>
      <c r="AQ1172" s="28"/>
      <c r="AR1172" s="28"/>
      <c r="AS1172" s="28"/>
      <c r="AT1172" s="28"/>
      <c r="AU1172" s="28"/>
      <c r="AV1172" s="28"/>
      <c r="AW1172" s="28"/>
      <c r="AX1172" s="28"/>
      <c r="AY1172" s="28"/>
      <c r="AZ1172" s="28"/>
      <c r="BA1172" s="28"/>
      <c r="BB1172" s="28"/>
      <c r="BC1172" s="28"/>
      <c r="BD1172" s="28"/>
      <c r="BE1172" s="28"/>
      <c r="BF1172" s="28"/>
      <c r="BG1172" s="28"/>
      <c r="BH1172" s="28"/>
      <c r="BI1172" s="28"/>
      <c r="BJ1172" s="28"/>
      <c r="BK1172" s="28"/>
      <c r="BL1172" s="28"/>
    </row>
    <row r="1173" spans="1:64" ht="12.75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  <c r="P1173" s="28"/>
      <c r="Q1173" s="28"/>
      <c r="R1173" s="28"/>
      <c r="S1173" s="28"/>
      <c r="T1173" s="28"/>
      <c r="U1173" s="28"/>
      <c r="V1173" s="28"/>
      <c r="W1173" s="28"/>
      <c r="X1173" s="28"/>
      <c r="Y1173" s="28"/>
      <c r="Z1173" s="28"/>
      <c r="AA1173" s="28"/>
      <c r="AB1173" s="28"/>
      <c r="AC1173" s="28"/>
      <c r="AD1173" s="28"/>
      <c r="AE1173" s="28"/>
      <c r="AF1173" s="28"/>
      <c r="AG1173" s="28"/>
      <c r="AH1173" s="28"/>
      <c r="AI1173" s="28"/>
      <c r="AJ1173" s="28"/>
      <c r="AK1173" s="28"/>
      <c r="AL1173" s="28"/>
      <c r="AM1173" s="28"/>
      <c r="AN1173" s="28"/>
      <c r="AO1173" s="28"/>
      <c r="AP1173" s="28"/>
      <c r="AQ1173" s="28"/>
      <c r="AR1173" s="28"/>
      <c r="AS1173" s="28"/>
      <c r="AT1173" s="28"/>
      <c r="AU1173" s="28"/>
      <c r="AV1173" s="28"/>
      <c r="AW1173" s="28"/>
      <c r="AX1173" s="28"/>
      <c r="AY1173" s="28"/>
      <c r="AZ1173" s="28"/>
      <c r="BA1173" s="28"/>
      <c r="BB1173" s="28"/>
      <c r="BC1173" s="28"/>
      <c r="BD1173" s="28"/>
      <c r="BE1173" s="28"/>
      <c r="BF1173" s="28"/>
      <c r="BG1173" s="28"/>
      <c r="BH1173" s="28"/>
      <c r="BI1173" s="28"/>
      <c r="BJ1173" s="28"/>
      <c r="BK1173" s="28"/>
      <c r="BL1173" s="28"/>
    </row>
    <row r="1174" spans="1:64" ht="12.75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28"/>
      <c r="L1174" s="28"/>
      <c r="M1174" s="28"/>
      <c r="N1174" s="28"/>
      <c r="O1174" s="28"/>
      <c r="P1174" s="28"/>
      <c r="Q1174" s="28"/>
      <c r="R1174" s="28"/>
      <c r="S1174" s="28"/>
      <c r="T1174" s="28"/>
      <c r="U1174" s="28"/>
      <c r="V1174" s="28"/>
      <c r="W1174" s="28"/>
      <c r="X1174" s="28"/>
      <c r="Y1174" s="28"/>
      <c r="Z1174" s="28"/>
      <c r="AA1174" s="28"/>
      <c r="AB1174" s="28"/>
      <c r="AC1174" s="28"/>
      <c r="AD1174" s="28"/>
      <c r="AE1174" s="28"/>
      <c r="AF1174" s="28"/>
      <c r="AG1174" s="28"/>
      <c r="AH1174" s="28"/>
      <c r="AI1174" s="28"/>
      <c r="AJ1174" s="28"/>
      <c r="AK1174" s="28"/>
      <c r="AL1174" s="28"/>
      <c r="AM1174" s="28"/>
      <c r="AN1174" s="28"/>
      <c r="AO1174" s="28"/>
      <c r="AP1174" s="28"/>
      <c r="AQ1174" s="28"/>
      <c r="AR1174" s="28"/>
      <c r="AS1174" s="28"/>
      <c r="AT1174" s="28"/>
      <c r="AU1174" s="28"/>
      <c r="AV1174" s="28"/>
      <c r="AW1174" s="28"/>
      <c r="AX1174" s="28"/>
      <c r="AY1174" s="28"/>
      <c r="AZ1174" s="28"/>
      <c r="BA1174" s="28"/>
      <c r="BB1174" s="28"/>
      <c r="BC1174" s="28"/>
      <c r="BD1174" s="28"/>
      <c r="BE1174" s="28"/>
      <c r="BF1174" s="28"/>
      <c r="BG1174" s="28"/>
      <c r="BH1174" s="28"/>
      <c r="BI1174" s="28"/>
      <c r="BJ1174" s="28"/>
      <c r="BK1174" s="28"/>
      <c r="BL1174" s="28"/>
    </row>
    <row r="1175" spans="1:64" ht="12.75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  <c r="R1175" s="28"/>
      <c r="S1175" s="28"/>
      <c r="T1175" s="28"/>
      <c r="U1175" s="28"/>
      <c r="V1175" s="28"/>
      <c r="W1175" s="28"/>
      <c r="X1175" s="28"/>
      <c r="Y1175" s="28"/>
      <c r="Z1175" s="28"/>
      <c r="AA1175" s="28"/>
      <c r="AB1175" s="28"/>
      <c r="AC1175" s="28"/>
      <c r="AD1175" s="28"/>
      <c r="AE1175" s="28"/>
      <c r="AF1175" s="28"/>
      <c r="AG1175" s="28"/>
      <c r="AH1175" s="28"/>
      <c r="AI1175" s="28"/>
      <c r="AJ1175" s="28"/>
      <c r="AK1175" s="28"/>
      <c r="AL1175" s="28"/>
      <c r="AM1175" s="28"/>
      <c r="AN1175" s="28"/>
      <c r="AO1175" s="28"/>
      <c r="AP1175" s="28"/>
      <c r="AQ1175" s="28"/>
      <c r="AR1175" s="28"/>
      <c r="AS1175" s="28"/>
      <c r="AT1175" s="28"/>
      <c r="AU1175" s="28"/>
      <c r="AV1175" s="28"/>
      <c r="AW1175" s="28"/>
      <c r="AX1175" s="28"/>
      <c r="AY1175" s="28"/>
      <c r="AZ1175" s="28"/>
      <c r="BA1175" s="28"/>
      <c r="BB1175" s="28"/>
      <c r="BC1175" s="28"/>
      <c r="BD1175" s="28"/>
      <c r="BE1175" s="28"/>
      <c r="BF1175" s="28"/>
      <c r="BG1175" s="28"/>
      <c r="BH1175" s="28"/>
      <c r="BI1175" s="28"/>
      <c r="BJ1175" s="28"/>
      <c r="BK1175" s="28"/>
      <c r="BL1175" s="28"/>
    </row>
    <row r="1176" spans="1:64" ht="12.75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28"/>
      <c r="L1176" s="28"/>
      <c r="M1176" s="28"/>
      <c r="N1176" s="28"/>
      <c r="O1176" s="28"/>
      <c r="P1176" s="28"/>
      <c r="Q1176" s="28"/>
      <c r="R1176" s="28"/>
      <c r="S1176" s="28"/>
      <c r="T1176" s="28"/>
      <c r="U1176" s="28"/>
      <c r="V1176" s="28"/>
      <c r="W1176" s="28"/>
      <c r="X1176" s="28"/>
      <c r="Y1176" s="28"/>
      <c r="Z1176" s="28"/>
      <c r="AA1176" s="28"/>
      <c r="AB1176" s="28"/>
      <c r="AC1176" s="28"/>
      <c r="AD1176" s="28"/>
      <c r="AE1176" s="28"/>
      <c r="AF1176" s="28"/>
      <c r="AG1176" s="28"/>
      <c r="AH1176" s="28"/>
      <c r="AI1176" s="28"/>
      <c r="AJ1176" s="28"/>
      <c r="AK1176" s="28"/>
      <c r="AL1176" s="28"/>
      <c r="AM1176" s="28"/>
      <c r="AN1176" s="28"/>
      <c r="AO1176" s="28"/>
      <c r="AP1176" s="28"/>
      <c r="AQ1176" s="28"/>
      <c r="AR1176" s="28"/>
      <c r="AS1176" s="28"/>
      <c r="AT1176" s="28"/>
      <c r="AU1176" s="28"/>
      <c r="AV1176" s="28"/>
      <c r="AW1176" s="28"/>
      <c r="AX1176" s="28"/>
      <c r="AY1176" s="28"/>
      <c r="AZ1176" s="28"/>
      <c r="BA1176" s="28"/>
      <c r="BB1176" s="28"/>
      <c r="BC1176" s="28"/>
      <c r="BD1176" s="28"/>
      <c r="BE1176" s="28"/>
      <c r="BF1176" s="28"/>
      <c r="BG1176" s="28"/>
      <c r="BH1176" s="28"/>
      <c r="BI1176" s="28"/>
      <c r="BJ1176" s="28"/>
      <c r="BK1176" s="28"/>
      <c r="BL1176" s="28"/>
    </row>
    <row r="1177" spans="1:64" ht="12.75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28"/>
      <c r="L1177" s="28"/>
      <c r="M1177" s="28"/>
      <c r="N1177" s="28"/>
      <c r="O1177" s="28"/>
      <c r="P1177" s="28"/>
      <c r="Q1177" s="28"/>
      <c r="R1177" s="28"/>
      <c r="S1177" s="28"/>
      <c r="T1177" s="28"/>
      <c r="U1177" s="28"/>
      <c r="V1177" s="28"/>
      <c r="W1177" s="28"/>
      <c r="X1177" s="28"/>
      <c r="Y1177" s="28"/>
      <c r="Z1177" s="28"/>
      <c r="AA1177" s="28"/>
      <c r="AB1177" s="28"/>
      <c r="AC1177" s="28"/>
      <c r="AD1177" s="28"/>
      <c r="AE1177" s="28"/>
      <c r="AF1177" s="28"/>
      <c r="AG1177" s="28"/>
      <c r="AH1177" s="28"/>
      <c r="AI1177" s="28"/>
      <c r="AJ1177" s="28"/>
      <c r="AK1177" s="28"/>
      <c r="AL1177" s="28"/>
      <c r="AM1177" s="28"/>
      <c r="AN1177" s="28"/>
      <c r="AO1177" s="28"/>
      <c r="AP1177" s="28"/>
      <c r="AQ1177" s="28"/>
      <c r="AR1177" s="28"/>
      <c r="AS1177" s="28"/>
      <c r="AT1177" s="28"/>
      <c r="AU1177" s="28"/>
      <c r="AV1177" s="28"/>
      <c r="AW1177" s="28"/>
      <c r="AX1177" s="28"/>
      <c r="AY1177" s="28"/>
      <c r="AZ1177" s="28"/>
      <c r="BA1177" s="28"/>
      <c r="BB1177" s="28"/>
      <c r="BC1177" s="28"/>
      <c r="BD1177" s="28"/>
      <c r="BE1177" s="28"/>
      <c r="BF1177" s="28"/>
      <c r="BG1177" s="28"/>
      <c r="BH1177" s="28"/>
      <c r="BI1177" s="28"/>
      <c r="BJ1177" s="28"/>
      <c r="BK1177" s="28"/>
      <c r="BL1177" s="28"/>
    </row>
    <row r="1178" spans="1:64" ht="12.75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28"/>
      <c r="L1178" s="28"/>
      <c r="M1178" s="28"/>
      <c r="N1178" s="28"/>
      <c r="O1178" s="28"/>
      <c r="P1178" s="28"/>
      <c r="Q1178" s="28"/>
      <c r="R1178" s="28"/>
      <c r="S1178" s="28"/>
      <c r="T1178" s="28"/>
      <c r="U1178" s="28"/>
      <c r="V1178" s="28"/>
      <c r="W1178" s="28"/>
      <c r="X1178" s="28"/>
      <c r="Y1178" s="28"/>
      <c r="Z1178" s="28"/>
      <c r="AA1178" s="28"/>
      <c r="AB1178" s="28"/>
      <c r="AC1178" s="28"/>
      <c r="AD1178" s="28"/>
      <c r="AE1178" s="28"/>
      <c r="AF1178" s="28"/>
      <c r="AG1178" s="28"/>
      <c r="AH1178" s="28"/>
      <c r="AI1178" s="28"/>
      <c r="AJ1178" s="28"/>
      <c r="AK1178" s="28"/>
      <c r="AL1178" s="28"/>
      <c r="AM1178" s="28"/>
      <c r="AN1178" s="28"/>
      <c r="AO1178" s="28"/>
      <c r="AP1178" s="28"/>
      <c r="AQ1178" s="28"/>
      <c r="AR1178" s="28"/>
      <c r="AS1178" s="28"/>
      <c r="AT1178" s="28"/>
      <c r="AU1178" s="28"/>
      <c r="AV1178" s="28"/>
      <c r="AW1178" s="28"/>
      <c r="AX1178" s="28"/>
      <c r="AY1178" s="28"/>
      <c r="AZ1178" s="28"/>
      <c r="BA1178" s="28"/>
      <c r="BB1178" s="28"/>
      <c r="BC1178" s="28"/>
      <c r="BD1178" s="28"/>
      <c r="BE1178" s="28"/>
      <c r="BF1178" s="28"/>
      <c r="BG1178" s="28"/>
      <c r="BH1178" s="28"/>
      <c r="BI1178" s="28"/>
      <c r="BJ1178" s="28"/>
      <c r="BK1178" s="28"/>
      <c r="BL1178" s="28"/>
    </row>
    <row r="1179" spans="1:64" ht="12.75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  <c r="P1179" s="28"/>
      <c r="Q1179" s="28"/>
      <c r="R1179" s="28"/>
      <c r="S1179" s="28"/>
      <c r="T1179" s="28"/>
      <c r="U1179" s="28"/>
      <c r="V1179" s="28"/>
      <c r="W1179" s="28"/>
      <c r="X1179" s="28"/>
      <c r="Y1179" s="28"/>
      <c r="Z1179" s="28"/>
      <c r="AA1179" s="28"/>
      <c r="AB1179" s="28"/>
      <c r="AC1179" s="28"/>
      <c r="AD1179" s="28"/>
      <c r="AE1179" s="28"/>
      <c r="AF1179" s="28"/>
      <c r="AG1179" s="28"/>
      <c r="AH1179" s="28"/>
      <c r="AI1179" s="28"/>
      <c r="AJ1179" s="28"/>
      <c r="AK1179" s="28"/>
      <c r="AL1179" s="28"/>
      <c r="AM1179" s="28"/>
      <c r="AN1179" s="28"/>
      <c r="AO1179" s="28"/>
      <c r="AP1179" s="28"/>
      <c r="AQ1179" s="28"/>
      <c r="AR1179" s="28"/>
      <c r="AS1179" s="28"/>
      <c r="AT1179" s="28"/>
      <c r="AU1179" s="28"/>
      <c r="AV1179" s="28"/>
      <c r="AW1179" s="28"/>
      <c r="AX1179" s="28"/>
      <c r="AY1179" s="28"/>
      <c r="AZ1179" s="28"/>
      <c r="BA1179" s="28"/>
      <c r="BB1179" s="28"/>
      <c r="BC1179" s="28"/>
      <c r="BD1179" s="28"/>
      <c r="BE1179" s="28"/>
      <c r="BF1179" s="28"/>
      <c r="BG1179" s="28"/>
      <c r="BH1179" s="28"/>
      <c r="BI1179" s="28"/>
      <c r="BJ1179" s="28"/>
      <c r="BK1179" s="28"/>
      <c r="BL1179" s="28"/>
    </row>
    <row r="1180" spans="1:64" ht="12.75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  <c r="P1180" s="28"/>
      <c r="Q1180" s="28"/>
      <c r="R1180" s="28"/>
      <c r="S1180" s="28"/>
      <c r="T1180" s="28"/>
      <c r="U1180" s="28"/>
      <c r="V1180" s="28"/>
      <c r="W1180" s="28"/>
      <c r="X1180" s="28"/>
      <c r="Y1180" s="28"/>
      <c r="Z1180" s="28"/>
      <c r="AA1180" s="28"/>
      <c r="AB1180" s="28"/>
      <c r="AC1180" s="28"/>
      <c r="AD1180" s="28"/>
      <c r="AE1180" s="28"/>
      <c r="AF1180" s="28"/>
      <c r="AG1180" s="28"/>
      <c r="AH1180" s="28"/>
      <c r="AI1180" s="28"/>
      <c r="AJ1180" s="28"/>
      <c r="AK1180" s="28"/>
      <c r="AL1180" s="28"/>
      <c r="AM1180" s="28"/>
      <c r="AN1180" s="28"/>
      <c r="AO1180" s="28"/>
      <c r="AP1180" s="28"/>
      <c r="AQ1180" s="28"/>
      <c r="AR1180" s="28"/>
      <c r="AS1180" s="28"/>
      <c r="AT1180" s="28"/>
      <c r="AU1180" s="28"/>
      <c r="AV1180" s="28"/>
      <c r="AW1180" s="28"/>
      <c r="AX1180" s="28"/>
      <c r="AY1180" s="28"/>
      <c r="AZ1180" s="28"/>
      <c r="BA1180" s="28"/>
      <c r="BB1180" s="28"/>
      <c r="BC1180" s="28"/>
      <c r="BD1180" s="28"/>
      <c r="BE1180" s="28"/>
      <c r="BF1180" s="28"/>
      <c r="BG1180" s="28"/>
      <c r="BH1180" s="28"/>
      <c r="BI1180" s="28"/>
      <c r="BJ1180" s="28"/>
      <c r="BK1180" s="28"/>
      <c r="BL1180" s="28"/>
    </row>
    <row r="1181" spans="1:64" ht="12.75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28"/>
      <c r="L1181" s="28"/>
      <c r="M1181" s="28"/>
      <c r="N1181" s="28"/>
      <c r="O1181" s="28"/>
      <c r="P1181" s="28"/>
      <c r="Q1181" s="28"/>
      <c r="R1181" s="28"/>
      <c r="S1181" s="28"/>
      <c r="T1181" s="28"/>
      <c r="U1181" s="28"/>
      <c r="V1181" s="28"/>
      <c r="W1181" s="28"/>
      <c r="X1181" s="28"/>
      <c r="Y1181" s="28"/>
      <c r="Z1181" s="28"/>
      <c r="AA1181" s="28"/>
      <c r="AB1181" s="28"/>
      <c r="AC1181" s="28"/>
      <c r="AD1181" s="28"/>
      <c r="AE1181" s="28"/>
      <c r="AF1181" s="28"/>
      <c r="AG1181" s="28"/>
      <c r="AH1181" s="28"/>
      <c r="AI1181" s="28"/>
      <c r="AJ1181" s="28"/>
      <c r="AK1181" s="28"/>
      <c r="AL1181" s="28"/>
      <c r="AM1181" s="28"/>
      <c r="AN1181" s="28"/>
      <c r="AO1181" s="28"/>
      <c r="AP1181" s="28"/>
      <c r="AQ1181" s="28"/>
      <c r="AR1181" s="28"/>
      <c r="AS1181" s="28"/>
      <c r="AT1181" s="28"/>
      <c r="AU1181" s="28"/>
      <c r="AV1181" s="28"/>
      <c r="AW1181" s="28"/>
      <c r="AX1181" s="28"/>
      <c r="AY1181" s="28"/>
      <c r="AZ1181" s="28"/>
      <c r="BA1181" s="28"/>
      <c r="BB1181" s="28"/>
      <c r="BC1181" s="28"/>
      <c r="BD1181" s="28"/>
      <c r="BE1181" s="28"/>
      <c r="BF1181" s="28"/>
      <c r="BG1181" s="28"/>
      <c r="BH1181" s="28"/>
      <c r="BI1181" s="28"/>
      <c r="BJ1181" s="28"/>
      <c r="BK1181" s="28"/>
      <c r="BL1181" s="28"/>
    </row>
    <row r="1182" spans="1:64" ht="12.75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28"/>
      <c r="Q1182" s="28"/>
      <c r="R1182" s="28"/>
      <c r="S1182" s="28"/>
      <c r="T1182" s="28"/>
      <c r="U1182" s="28"/>
      <c r="V1182" s="28"/>
      <c r="W1182" s="28"/>
      <c r="X1182" s="28"/>
      <c r="Y1182" s="28"/>
      <c r="Z1182" s="28"/>
      <c r="AA1182" s="28"/>
      <c r="AB1182" s="28"/>
      <c r="AC1182" s="28"/>
      <c r="AD1182" s="28"/>
      <c r="AE1182" s="28"/>
      <c r="AF1182" s="28"/>
      <c r="AG1182" s="28"/>
      <c r="AH1182" s="28"/>
      <c r="AI1182" s="28"/>
      <c r="AJ1182" s="28"/>
      <c r="AK1182" s="28"/>
      <c r="AL1182" s="28"/>
      <c r="AM1182" s="28"/>
      <c r="AN1182" s="28"/>
      <c r="AO1182" s="28"/>
      <c r="AP1182" s="28"/>
      <c r="AQ1182" s="28"/>
      <c r="AR1182" s="28"/>
      <c r="AS1182" s="28"/>
      <c r="AT1182" s="28"/>
      <c r="AU1182" s="28"/>
      <c r="AV1182" s="28"/>
      <c r="AW1182" s="28"/>
      <c r="AX1182" s="28"/>
      <c r="AY1182" s="28"/>
      <c r="AZ1182" s="28"/>
      <c r="BA1182" s="28"/>
      <c r="BB1182" s="28"/>
      <c r="BC1182" s="28"/>
      <c r="BD1182" s="28"/>
      <c r="BE1182" s="28"/>
      <c r="BF1182" s="28"/>
      <c r="BG1182" s="28"/>
      <c r="BH1182" s="28"/>
      <c r="BI1182" s="28"/>
      <c r="BJ1182" s="28"/>
      <c r="BK1182" s="28"/>
      <c r="BL1182" s="28"/>
    </row>
    <row r="1183" spans="1:64" ht="12.75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28"/>
      <c r="L1183" s="28"/>
      <c r="M1183" s="28"/>
      <c r="N1183" s="28"/>
      <c r="O1183" s="28"/>
      <c r="P1183" s="28"/>
      <c r="Q1183" s="28"/>
      <c r="R1183" s="28"/>
      <c r="S1183" s="28"/>
      <c r="T1183" s="28"/>
      <c r="U1183" s="28"/>
      <c r="V1183" s="28"/>
      <c r="W1183" s="28"/>
      <c r="X1183" s="28"/>
      <c r="Y1183" s="28"/>
      <c r="Z1183" s="28"/>
      <c r="AA1183" s="28"/>
      <c r="AB1183" s="28"/>
      <c r="AC1183" s="28"/>
      <c r="AD1183" s="28"/>
      <c r="AE1183" s="28"/>
      <c r="AF1183" s="28"/>
      <c r="AG1183" s="28"/>
      <c r="AH1183" s="28"/>
      <c r="AI1183" s="28"/>
      <c r="AJ1183" s="28"/>
      <c r="AK1183" s="28"/>
      <c r="AL1183" s="28"/>
      <c r="AM1183" s="28"/>
      <c r="AN1183" s="28"/>
      <c r="AO1183" s="28"/>
      <c r="AP1183" s="28"/>
      <c r="AQ1183" s="28"/>
      <c r="AR1183" s="28"/>
      <c r="AS1183" s="28"/>
      <c r="AT1183" s="28"/>
      <c r="AU1183" s="28"/>
      <c r="AV1183" s="28"/>
      <c r="AW1183" s="28"/>
      <c r="AX1183" s="28"/>
      <c r="AY1183" s="28"/>
      <c r="AZ1183" s="28"/>
      <c r="BA1183" s="28"/>
      <c r="BB1183" s="28"/>
      <c r="BC1183" s="28"/>
      <c r="BD1183" s="28"/>
      <c r="BE1183" s="28"/>
      <c r="BF1183" s="28"/>
      <c r="BG1183" s="28"/>
      <c r="BH1183" s="28"/>
      <c r="BI1183" s="28"/>
      <c r="BJ1183" s="28"/>
      <c r="BK1183" s="28"/>
      <c r="BL1183" s="28"/>
    </row>
    <row r="1184" spans="1:64" ht="12.75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  <c r="P1184" s="28"/>
      <c r="Q1184" s="28"/>
      <c r="R1184" s="28"/>
      <c r="S1184" s="28"/>
      <c r="T1184" s="28"/>
      <c r="U1184" s="28"/>
      <c r="V1184" s="28"/>
      <c r="W1184" s="28"/>
      <c r="X1184" s="28"/>
      <c r="Y1184" s="28"/>
      <c r="Z1184" s="28"/>
      <c r="AA1184" s="28"/>
      <c r="AB1184" s="28"/>
      <c r="AC1184" s="28"/>
      <c r="AD1184" s="28"/>
      <c r="AE1184" s="28"/>
      <c r="AF1184" s="28"/>
      <c r="AG1184" s="28"/>
      <c r="AH1184" s="28"/>
      <c r="AI1184" s="28"/>
      <c r="AJ1184" s="28"/>
      <c r="AK1184" s="28"/>
      <c r="AL1184" s="28"/>
      <c r="AM1184" s="28"/>
      <c r="AN1184" s="28"/>
      <c r="AO1184" s="28"/>
      <c r="AP1184" s="28"/>
      <c r="AQ1184" s="28"/>
      <c r="AR1184" s="28"/>
      <c r="AS1184" s="28"/>
      <c r="AT1184" s="28"/>
      <c r="AU1184" s="28"/>
      <c r="AV1184" s="28"/>
      <c r="AW1184" s="28"/>
      <c r="AX1184" s="28"/>
      <c r="AY1184" s="28"/>
      <c r="AZ1184" s="28"/>
      <c r="BA1184" s="28"/>
      <c r="BB1184" s="28"/>
      <c r="BC1184" s="28"/>
      <c r="BD1184" s="28"/>
      <c r="BE1184" s="28"/>
      <c r="BF1184" s="28"/>
      <c r="BG1184" s="28"/>
      <c r="BH1184" s="28"/>
      <c r="BI1184" s="28"/>
      <c r="BJ1184" s="28"/>
      <c r="BK1184" s="28"/>
      <c r="BL1184" s="28"/>
    </row>
    <row r="1185" spans="1:64" ht="12.75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28"/>
      <c r="L1185" s="28"/>
      <c r="M1185" s="28"/>
      <c r="N1185" s="28"/>
      <c r="O1185" s="28"/>
      <c r="P1185" s="28"/>
      <c r="Q1185" s="28"/>
      <c r="R1185" s="28"/>
      <c r="S1185" s="28"/>
      <c r="T1185" s="28"/>
      <c r="U1185" s="28"/>
      <c r="V1185" s="28"/>
      <c r="W1185" s="28"/>
      <c r="X1185" s="28"/>
      <c r="Y1185" s="28"/>
      <c r="Z1185" s="28"/>
      <c r="AA1185" s="28"/>
      <c r="AB1185" s="28"/>
      <c r="AC1185" s="28"/>
      <c r="AD1185" s="28"/>
      <c r="AE1185" s="28"/>
      <c r="AF1185" s="28"/>
      <c r="AG1185" s="28"/>
      <c r="AH1185" s="28"/>
      <c r="AI1185" s="28"/>
      <c r="AJ1185" s="28"/>
      <c r="AK1185" s="28"/>
      <c r="AL1185" s="28"/>
      <c r="AM1185" s="28"/>
      <c r="AN1185" s="28"/>
      <c r="AO1185" s="28"/>
      <c r="AP1185" s="28"/>
      <c r="AQ1185" s="28"/>
      <c r="AR1185" s="28"/>
      <c r="AS1185" s="28"/>
      <c r="AT1185" s="28"/>
      <c r="AU1185" s="28"/>
      <c r="AV1185" s="28"/>
      <c r="AW1185" s="28"/>
      <c r="AX1185" s="28"/>
      <c r="AY1185" s="28"/>
      <c r="AZ1185" s="28"/>
      <c r="BA1185" s="28"/>
      <c r="BB1185" s="28"/>
      <c r="BC1185" s="28"/>
      <c r="BD1185" s="28"/>
      <c r="BE1185" s="28"/>
      <c r="BF1185" s="28"/>
      <c r="BG1185" s="28"/>
      <c r="BH1185" s="28"/>
      <c r="BI1185" s="28"/>
      <c r="BJ1185" s="28"/>
      <c r="BK1185" s="28"/>
      <c r="BL1185" s="28"/>
    </row>
    <row r="1186" spans="1:64" ht="12.75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28"/>
      <c r="Q1186" s="28"/>
      <c r="R1186" s="28"/>
      <c r="S1186" s="28"/>
      <c r="T1186" s="28"/>
      <c r="U1186" s="28"/>
      <c r="V1186" s="28"/>
      <c r="W1186" s="28"/>
      <c r="X1186" s="28"/>
      <c r="Y1186" s="28"/>
      <c r="Z1186" s="28"/>
      <c r="AA1186" s="28"/>
      <c r="AB1186" s="28"/>
      <c r="AC1186" s="28"/>
      <c r="AD1186" s="28"/>
      <c r="AE1186" s="28"/>
      <c r="AF1186" s="28"/>
      <c r="AG1186" s="28"/>
      <c r="AH1186" s="28"/>
      <c r="AI1186" s="28"/>
      <c r="AJ1186" s="28"/>
      <c r="AK1186" s="28"/>
      <c r="AL1186" s="28"/>
      <c r="AM1186" s="28"/>
      <c r="AN1186" s="28"/>
      <c r="AO1186" s="28"/>
      <c r="AP1186" s="28"/>
      <c r="AQ1186" s="28"/>
      <c r="AR1186" s="28"/>
      <c r="AS1186" s="28"/>
      <c r="AT1186" s="28"/>
      <c r="AU1186" s="28"/>
      <c r="AV1186" s="28"/>
      <c r="AW1186" s="28"/>
      <c r="AX1186" s="28"/>
      <c r="AY1186" s="28"/>
      <c r="AZ1186" s="28"/>
      <c r="BA1186" s="28"/>
      <c r="BB1186" s="28"/>
      <c r="BC1186" s="28"/>
      <c r="BD1186" s="28"/>
      <c r="BE1186" s="28"/>
      <c r="BF1186" s="28"/>
      <c r="BG1186" s="28"/>
      <c r="BH1186" s="28"/>
      <c r="BI1186" s="28"/>
      <c r="BJ1186" s="28"/>
      <c r="BK1186" s="28"/>
      <c r="BL1186" s="28"/>
    </row>
    <row r="1187" spans="1:64" ht="12.75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28"/>
      <c r="L1187" s="28"/>
      <c r="M1187" s="28"/>
      <c r="N1187" s="28"/>
      <c r="O1187" s="28"/>
      <c r="P1187" s="28"/>
      <c r="Q1187" s="28"/>
      <c r="R1187" s="28"/>
      <c r="S1187" s="28"/>
      <c r="T1187" s="28"/>
      <c r="U1187" s="28"/>
      <c r="V1187" s="28"/>
      <c r="W1187" s="28"/>
      <c r="X1187" s="28"/>
      <c r="Y1187" s="28"/>
      <c r="Z1187" s="28"/>
      <c r="AA1187" s="28"/>
      <c r="AB1187" s="28"/>
      <c r="AC1187" s="28"/>
      <c r="AD1187" s="28"/>
      <c r="AE1187" s="28"/>
      <c r="AF1187" s="28"/>
      <c r="AG1187" s="28"/>
      <c r="AH1187" s="28"/>
      <c r="AI1187" s="28"/>
      <c r="AJ1187" s="28"/>
      <c r="AK1187" s="28"/>
      <c r="AL1187" s="28"/>
      <c r="AM1187" s="28"/>
      <c r="AN1187" s="28"/>
      <c r="AO1187" s="28"/>
      <c r="AP1187" s="28"/>
      <c r="AQ1187" s="28"/>
      <c r="AR1187" s="28"/>
      <c r="AS1187" s="28"/>
      <c r="AT1187" s="28"/>
      <c r="AU1187" s="28"/>
      <c r="AV1187" s="28"/>
      <c r="AW1187" s="28"/>
      <c r="AX1187" s="28"/>
      <c r="AY1187" s="28"/>
      <c r="AZ1187" s="28"/>
      <c r="BA1187" s="28"/>
      <c r="BB1187" s="28"/>
      <c r="BC1187" s="28"/>
      <c r="BD1187" s="28"/>
      <c r="BE1187" s="28"/>
      <c r="BF1187" s="28"/>
      <c r="BG1187" s="28"/>
      <c r="BH1187" s="28"/>
      <c r="BI1187" s="28"/>
      <c r="BJ1187" s="28"/>
      <c r="BK1187" s="28"/>
      <c r="BL1187" s="28"/>
    </row>
    <row r="1188" spans="1:64" ht="12.75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/>
      <c r="R1188" s="28"/>
      <c r="S1188" s="28"/>
      <c r="T1188" s="28"/>
      <c r="U1188" s="28"/>
      <c r="V1188" s="28"/>
      <c r="W1188" s="28"/>
      <c r="X1188" s="28"/>
      <c r="Y1188" s="28"/>
      <c r="Z1188" s="28"/>
      <c r="AA1188" s="28"/>
      <c r="AB1188" s="28"/>
      <c r="AC1188" s="28"/>
      <c r="AD1188" s="28"/>
      <c r="AE1188" s="28"/>
      <c r="AF1188" s="28"/>
      <c r="AG1188" s="28"/>
      <c r="AH1188" s="28"/>
      <c r="AI1188" s="28"/>
      <c r="AJ1188" s="28"/>
      <c r="AK1188" s="28"/>
      <c r="AL1188" s="28"/>
      <c r="AM1188" s="28"/>
      <c r="AN1188" s="28"/>
      <c r="AO1188" s="28"/>
      <c r="AP1188" s="28"/>
      <c r="AQ1188" s="28"/>
      <c r="AR1188" s="28"/>
      <c r="AS1188" s="28"/>
      <c r="AT1188" s="28"/>
      <c r="AU1188" s="28"/>
      <c r="AV1188" s="28"/>
      <c r="AW1188" s="28"/>
      <c r="AX1188" s="28"/>
      <c r="AY1188" s="28"/>
      <c r="AZ1188" s="28"/>
      <c r="BA1188" s="28"/>
      <c r="BB1188" s="28"/>
      <c r="BC1188" s="28"/>
      <c r="BD1188" s="28"/>
      <c r="BE1188" s="28"/>
      <c r="BF1188" s="28"/>
      <c r="BG1188" s="28"/>
      <c r="BH1188" s="28"/>
      <c r="BI1188" s="28"/>
      <c r="BJ1188" s="28"/>
      <c r="BK1188" s="28"/>
      <c r="BL1188" s="28"/>
    </row>
    <row r="1189" spans="1:64" ht="12.75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28"/>
      <c r="L1189" s="28"/>
      <c r="M1189" s="28"/>
      <c r="N1189" s="28"/>
      <c r="O1189" s="28"/>
      <c r="P1189" s="28"/>
      <c r="Q1189" s="28"/>
      <c r="R1189" s="28"/>
      <c r="S1189" s="28"/>
      <c r="T1189" s="28"/>
      <c r="U1189" s="28"/>
      <c r="V1189" s="28"/>
      <c r="W1189" s="28"/>
      <c r="X1189" s="28"/>
      <c r="Y1189" s="28"/>
      <c r="Z1189" s="28"/>
      <c r="AA1189" s="28"/>
      <c r="AB1189" s="28"/>
      <c r="AC1189" s="28"/>
      <c r="AD1189" s="28"/>
      <c r="AE1189" s="28"/>
      <c r="AF1189" s="28"/>
      <c r="AG1189" s="28"/>
      <c r="AH1189" s="28"/>
      <c r="AI1189" s="28"/>
      <c r="AJ1189" s="28"/>
      <c r="AK1189" s="28"/>
      <c r="AL1189" s="28"/>
      <c r="AM1189" s="28"/>
      <c r="AN1189" s="28"/>
      <c r="AO1189" s="28"/>
      <c r="AP1189" s="28"/>
      <c r="AQ1189" s="28"/>
      <c r="AR1189" s="28"/>
      <c r="AS1189" s="28"/>
      <c r="AT1189" s="28"/>
      <c r="AU1189" s="28"/>
      <c r="AV1189" s="28"/>
      <c r="AW1189" s="28"/>
      <c r="AX1189" s="28"/>
      <c r="AY1189" s="28"/>
      <c r="AZ1189" s="28"/>
      <c r="BA1189" s="28"/>
      <c r="BB1189" s="28"/>
      <c r="BC1189" s="28"/>
      <c r="BD1189" s="28"/>
      <c r="BE1189" s="28"/>
      <c r="BF1189" s="28"/>
      <c r="BG1189" s="28"/>
      <c r="BH1189" s="28"/>
      <c r="BI1189" s="28"/>
      <c r="BJ1189" s="28"/>
      <c r="BK1189" s="28"/>
      <c r="BL1189" s="28"/>
    </row>
    <row r="1190" spans="1:64" ht="12.75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28"/>
      <c r="L1190" s="28"/>
      <c r="M1190" s="28"/>
      <c r="N1190" s="28"/>
      <c r="O1190" s="28"/>
      <c r="P1190" s="28"/>
      <c r="Q1190" s="28"/>
      <c r="R1190" s="28"/>
      <c r="S1190" s="28"/>
      <c r="T1190" s="28"/>
      <c r="U1190" s="28"/>
      <c r="V1190" s="28"/>
      <c r="W1190" s="28"/>
      <c r="X1190" s="28"/>
      <c r="Y1190" s="28"/>
      <c r="Z1190" s="28"/>
      <c r="AA1190" s="28"/>
      <c r="AB1190" s="28"/>
      <c r="AC1190" s="28"/>
      <c r="AD1190" s="28"/>
      <c r="AE1190" s="28"/>
      <c r="AF1190" s="28"/>
      <c r="AG1190" s="28"/>
      <c r="AH1190" s="28"/>
      <c r="AI1190" s="28"/>
      <c r="AJ1190" s="28"/>
      <c r="AK1190" s="28"/>
      <c r="AL1190" s="28"/>
      <c r="AM1190" s="28"/>
      <c r="AN1190" s="28"/>
      <c r="AO1190" s="28"/>
      <c r="AP1190" s="28"/>
      <c r="AQ1190" s="28"/>
      <c r="AR1190" s="28"/>
      <c r="AS1190" s="28"/>
      <c r="AT1190" s="28"/>
      <c r="AU1190" s="28"/>
      <c r="AV1190" s="28"/>
      <c r="AW1190" s="28"/>
      <c r="AX1190" s="28"/>
      <c r="AY1190" s="28"/>
      <c r="AZ1190" s="28"/>
      <c r="BA1190" s="28"/>
      <c r="BB1190" s="28"/>
      <c r="BC1190" s="28"/>
      <c r="BD1190" s="28"/>
      <c r="BE1190" s="28"/>
      <c r="BF1190" s="28"/>
      <c r="BG1190" s="28"/>
      <c r="BH1190" s="28"/>
      <c r="BI1190" s="28"/>
      <c r="BJ1190" s="28"/>
      <c r="BK1190" s="28"/>
      <c r="BL1190" s="28"/>
    </row>
    <row r="1191" spans="1:64" ht="12.75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28"/>
      <c r="L1191" s="28"/>
      <c r="M1191" s="28"/>
      <c r="N1191" s="28"/>
      <c r="O1191" s="28"/>
      <c r="P1191" s="28"/>
      <c r="Q1191" s="28"/>
      <c r="R1191" s="28"/>
      <c r="S1191" s="28"/>
      <c r="T1191" s="28"/>
      <c r="U1191" s="28"/>
      <c r="V1191" s="28"/>
      <c r="W1191" s="28"/>
      <c r="X1191" s="28"/>
      <c r="Y1191" s="28"/>
      <c r="Z1191" s="28"/>
      <c r="AA1191" s="28"/>
      <c r="AB1191" s="28"/>
      <c r="AC1191" s="28"/>
      <c r="AD1191" s="28"/>
      <c r="AE1191" s="28"/>
      <c r="AF1191" s="28"/>
      <c r="AG1191" s="28"/>
      <c r="AH1191" s="28"/>
      <c r="AI1191" s="28"/>
      <c r="AJ1191" s="28"/>
      <c r="AK1191" s="28"/>
      <c r="AL1191" s="28"/>
      <c r="AM1191" s="28"/>
      <c r="AN1191" s="28"/>
      <c r="AO1191" s="28"/>
      <c r="AP1191" s="28"/>
      <c r="AQ1191" s="28"/>
      <c r="AR1191" s="28"/>
      <c r="AS1191" s="28"/>
      <c r="AT1191" s="28"/>
      <c r="AU1191" s="28"/>
      <c r="AV1191" s="28"/>
      <c r="AW1191" s="28"/>
      <c r="AX1191" s="28"/>
      <c r="AY1191" s="28"/>
      <c r="AZ1191" s="28"/>
      <c r="BA1191" s="28"/>
      <c r="BB1191" s="28"/>
      <c r="BC1191" s="28"/>
      <c r="BD1191" s="28"/>
      <c r="BE1191" s="28"/>
      <c r="BF1191" s="28"/>
      <c r="BG1191" s="28"/>
      <c r="BH1191" s="28"/>
      <c r="BI1191" s="28"/>
      <c r="BJ1191" s="28"/>
      <c r="BK1191" s="28"/>
      <c r="BL1191" s="28"/>
    </row>
    <row r="1192" spans="1:64" ht="12.75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  <c r="P1192" s="28"/>
      <c r="Q1192" s="28"/>
      <c r="R1192" s="28"/>
      <c r="S1192" s="28"/>
      <c r="T1192" s="28"/>
      <c r="U1192" s="28"/>
      <c r="V1192" s="28"/>
      <c r="W1192" s="28"/>
      <c r="X1192" s="28"/>
      <c r="Y1192" s="28"/>
      <c r="Z1192" s="28"/>
      <c r="AA1192" s="28"/>
      <c r="AB1192" s="28"/>
      <c r="AC1192" s="28"/>
      <c r="AD1192" s="28"/>
      <c r="AE1192" s="28"/>
      <c r="AF1192" s="28"/>
      <c r="AG1192" s="28"/>
      <c r="AH1192" s="28"/>
      <c r="AI1192" s="28"/>
      <c r="AJ1192" s="28"/>
      <c r="AK1192" s="28"/>
      <c r="AL1192" s="28"/>
      <c r="AM1192" s="28"/>
      <c r="AN1192" s="28"/>
      <c r="AO1192" s="28"/>
      <c r="AP1192" s="28"/>
      <c r="AQ1192" s="28"/>
      <c r="AR1192" s="28"/>
      <c r="AS1192" s="28"/>
      <c r="AT1192" s="28"/>
      <c r="AU1192" s="28"/>
      <c r="AV1192" s="28"/>
      <c r="AW1192" s="28"/>
      <c r="AX1192" s="28"/>
      <c r="AY1192" s="28"/>
      <c r="AZ1192" s="28"/>
      <c r="BA1192" s="28"/>
      <c r="BB1192" s="28"/>
      <c r="BC1192" s="28"/>
      <c r="BD1192" s="28"/>
      <c r="BE1192" s="28"/>
      <c r="BF1192" s="28"/>
      <c r="BG1192" s="28"/>
      <c r="BH1192" s="28"/>
      <c r="BI1192" s="28"/>
      <c r="BJ1192" s="28"/>
      <c r="BK1192" s="28"/>
      <c r="BL1192" s="28"/>
    </row>
    <row r="1193" spans="1:64" ht="12.75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28"/>
      <c r="L1193" s="28"/>
      <c r="M1193" s="28"/>
      <c r="N1193" s="28"/>
      <c r="O1193" s="28"/>
      <c r="P1193" s="28"/>
      <c r="Q1193" s="28"/>
      <c r="R1193" s="28"/>
      <c r="S1193" s="28"/>
      <c r="T1193" s="28"/>
      <c r="U1193" s="28"/>
      <c r="V1193" s="28"/>
      <c r="W1193" s="28"/>
      <c r="X1193" s="28"/>
      <c r="Y1193" s="28"/>
      <c r="Z1193" s="28"/>
      <c r="AA1193" s="28"/>
      <c r="AB1193" s="28"/>
      <c r="AC1193" s="28"/>
      <c r="AD1193" s="28"/>
      <c r="AE1193" s="28"/>
      <c r="AF1193" s="28"/>
      <c r="AG1193" s="28"/>
      <c r="AH1193" s="28"/>
      <c r="AI1193" s="28"/>
      <c r="AJ1193" s="28"/>
      <c r="AK1193" s="28"/>
      <c r="AL1193" s="28"/>
      <c r="AM1193" s="28"/>
      <c r="AN1193" s="28"/>
      <c r="AO1193" s="28"/>
      <c r="AP1193" s="28"/>
      <c r="AQ1193" s="28"/>
      <c r="AR1193" s="28"/>
      <c r="AS1193" s="28"/>
      <c r="AT1193" s="28"/>
      <c r="AU1193" s="28"/>
      <c r="AV1193" s="28"/>
      <c r="AW1193" s="28"/>
      <c r="AX1193" s="28"/>
      <c r="AY1193" s="28"/>
      <c r="AZ1193" s="28"/>
      <c r="BA1193" s="28"/>
      <c r="BB1193" s="28"/>
      <c r="BC1193" s="28"/>
      <c r="BD1193" s="28"/>
      <c r="BE1193" s="28"/>
      <c r="BF1193" s="28"/>
      <c r="BG1193" s="28"/>
      <c r="BH1193" s="28"/>
      <c r="BI1193" s="28"/>
      <c r="BJ1193" s="28"/>
      <c r="BK1193" s="28"/>
      <c r="BL1193" s="28"/>
    </row>
    <row r="1194" spans="1:64" ht="12.75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  <c r="P1194" s="28"/>
      <c r="Q1194" s="28"/>
      <c r="R1194" s="28"/>
      <c r="S1194" s="28"/>
      <c r="T1194" s="28"/>
      <c r="U1194" s="28"/>
      <c r="V1194" s="28"/>
      <c r="W1194" s="28"/>
      <c r="X1194" s="28"/>
      <c r="Y1194" s="28"/>
      <c r="Z1194" s="28"/>
      <c r="AA1194" s="28"/>
      <c r="AB1194" s="28"/>
      <c r="AC1194" s="28"/>
      <c r="AD1194" s="28"/>
      <c r="AE1194" s="28"/>
      <c r="AF1194" s="28"/>
      <c r="AG1194" s="28"/>
      <c r="AH1194" s="28"/>
      <c r="AI1194" s="28"/>
      <c r="AJ1194" s="28"/>
      <c r="AK1194" s="28"/>
      <c r="AL1194" s="28"/>
      <c r="AM1194" s="28"/>
      <c r="AN1194" s="28"/>
      <c r="AO1194" s="28"/>
      <c r="AP1194" s="28"/>
      <c r="AQ1194" s="28"/>
      <c r="AR1194" s="28"/>
      <c r="AS1194" s="28"/>
      <c r="AT1194" s="28"/>
      <c r="AU1194" s="28"/>
      <c r="AV1194" s="28"/>
      <c r="AW1194" s="28"/>
      <c r="AX1194" s="28"/>
      <c r="AY1194" s="28"/>
      <c r="AZ1194" s="28"/>
      <c r="BA1194" s="28"/>
      <c r="BB1194" s="28"/>
      <c r="BC1194" s="28"/>
      <c r="BD1194" s="28"/>
      <c r="BE1194" s="28"/>
      <c r="BF1194" s="28"/>
      <c r="BG1194" s="28"/>
      <c r="BH1194" s="28"/>
      <c r="BI1194" s="28"/>
      <c r="BJ1194" s="28"/>
      <c r="BK1194" s="28"/>
      <c r="BL1194" s="28"/>
    </row>
    <row r="1195" spans="1:64" ht="12.75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28"/>
      <c r="L1195" s="28"/>
      <c r="M1195" s="28"/>
      <c r="N1195" s="28"/>
      <c r="O1195" s="28"/>
      <c r="P1195" s="28"/>
      <c r="Q1195" s="28"/>
      <c r="R1195" s="28"/>
      <c r="S1195" s="28"/>
      <c r="T1195" s="28"/>
      <c r="U1195" s="28"/>
      <c r="V1195" s="28"/>
      <c r="W1195" s="28"/>
      <c r="X1195" s="28"/>
      <c r="Y1195" s="28"/>
      <c r="Z1195" s="28"/>
      <c r="AA1195" s="28"/>
      <c r="AB1195" s="28"/>
      <c r="AC1195" s="28"/>
      <c r="AD1195" s="28"/>
      <c r="AE1195" s="28"/>
      <c r="AF1195" s="28"/>
      <c r="AG1195" s="28"/>
      <c r="AH1195" s="28"/>
      <c r="AI1195" s="28"/>
      <c r="AJ1195" s="28"/>
      <c r="AK1195" s="28"/>
      <c r="AL1195" s="28"/>
      <c r="AM1195" s="28"/>
      <c r="AN1195" s="28"/>
      <c r="AO1195" s="28"/>
      <c r="AP1195" s="28"/>
      <c r="AQ1195" s="28"/>
      <c r="AR1195" s="28"/>
      <c r="AS1195" s="28"/>
      <c r="AT1195" s="28"/>
      <c r="AU1195" s="28"/>
      <c r="AV1195" s="28"/>
      <c r="AW1195" s="28"/>
      <c r="AX1195" s="28"/>
      <c r="AY1195" s="28"/>
      <c r="AZ1195" s="28"/>
      <c r="BA1195" s="28"/>
      <c r="BB1195" s="28"/>
      <c r="BC1195" s="28"/>
      <c r="BD1195" s="28"/>
      <c r="BE1195" s="28"/>
      <c r="BF1195" s="28"/>
      <c r="BG1195" s="28"/>
      <c r="BH1195" s="28"/>
      <c r="BI1195" s="28"/>
      <c r="BJ1195" s="28"/>
      <c r="BK1195" s="28"/>
      <c r="BL1195" s="28"/>
    </row>
    <row r="1196" spans="1:64" ht="12.75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28"/>
      <c r="L1196" s="28"/>
      <c r="M1196" s="28"/>
      <c r="N1196" s="28"/>
      <c r="O1196" s="28"/>
      <c r="P1196" s="28"/>
      <c r="Q1196" s="28"/>
      <c r="R1196" s="28"/>
      <c r="S1196" s="28"/>
      <c r="T1196" s="28"/>
      <c r="U1196" s="28"/>
      <c r="V1196" s="28"/>
      <c r="W1196" s="28"/>
      <c r="X1196" s="28"/>
      <c r="Y1196" s="28"/>
      <c r="Z1196" s="28"/>
      <c r="AA1196" s="28"/>
      <c r="AB1196" s="28"/>
      <c r="AC1196" s="28"/>
      <c r="AD1196" s="28"/>
      <c r="AE1196" s="28"/>
      <c r="AF1196" s="28"/>
      <c r="AG1196" s="28"/>
      <c r="AH1196" s="28"/>
      <c r="AI1196" s="28"/>
      <c r="AJ1196" s="28"/>
      <c r="AK1196" s="28"/>
      <c r="AL1196" s="28"/>
      <c r="AM1196" s="28"/>
      <c r="AN1196" s="28"/>
      <c r="AO1196" s="28"/>
      <c r="AP1196" s="28"/>
      <c r="AQ1196" s="28"/>
      <c r="AR1196" s="28"/>
      <c r="AS1196" s="28"/>
      <c r="AT1196" s="28"/>
      <c r="AU1196" s="28"/>
      <c r="AV1196" s="28"/>
      <c r="AW1196" s="28"/>
      <c r="AX1196" s="28"/>
      <c r="AY1196" s="28"/>
      <c r="AZ1196" s="28"/>
      <c r="BA1196" s="28"/>
      <c r="BB1196" s="28"/>
      <c r="BC1196" s="28"/>
      <c r="BD1196" s="28"/>
      <c r="BE1196" s="28"/>
      <c r="BF1196" s="28"/>
      <c r="BG1196" s="28"/>
      <c r="BH1196" s="28"/>
      <c r="BI1196" s="28"/>
      <c r="BJ1196" s="28"/>
      <c r="BK1196" s="28"/>
      <c r="BL1196" s="28"/>
    </row>
    <row r="1197" spans="1:64" ht="12.75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28"/>
      <c r="L1197" s="28"/>
      <c r="M1197" s="28"/>
      <c r="N1197" s="28"/>
      <c r="O1197" s="28"/>
      <c r="P1197" s="28"/>
      <c r="Q1197" s="28"/>
      <c r="R1197" s="28"/>
      <c r="S1197" s="28"/>
      <c r="T1197" s="28"/>
      <c r="U1197" s="28"/>
      <c r="V1197" s="28"/>
      <c r="W1197" s="28"/>
      <c r="X1197" s="28"/>
      <c r="Y1197" s="28"/>
      <c r="Z1197" s="28"/>
      <c r="AA1197" s="28"/>
      <c r="AB1197" s="28"/>
      <c r="AC1197" s="28"/>
      <c r="AD1197" s="28"/>
      <c r="AE1197" s="28"/>
      <c r="AF1197" s="28"/>
      <c r="AG1197" s="28"/>
      <c r="AH1197" s="28"/>
      <c r="AI1197" s="28"/>
      <c r="AJ1197" s="28"/>
      <c r="AK1197" s="28"/>
      <c r="AL1197" s="28"/>
      <c r="AM1197" s="28"/>
      <c r="AN1197" s="28"/>
      <c r="AO1197" s="28"/>
      <c r="AP1197" s="28"/>
      <c r="AQ1197" s="28"/>
      <c r="AR1197" s="28"/>
      <c r="AS1197" s="28"/>
      <c r="AT1197" s="28"/>
      <c r="AU1197" s="28"/>
      <c r="AV1197" s="28"/>
      <c r="AW1197" s="28"/>
      <c r="AX1197" s="28"/>
      <c r="AY1197" s="28"/>
      <c r="AZ1197" s="28"/>
      <c r="BA1197" s="28"/>
      <c r="BB1197" s="28"/>
      <c r="BC1197" s="28"/>
      <c r="BD1197" s="28"/>
      <c r="BE1197" s="28"/>
      <c r="BF1197" s="28"/>
      <c r="BG1197" s="28"/>
      <c r="BH1197" s="28"/>
      <c r="BI1197" s="28"/>
      <c r="BJ1197" s="28"/>
      <c r="BK1197" s="28"/>
      <c r="BL1197" s="28"/>
    </row>
    <row r="1198" spans="1:64" ht="12.75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28"/>
      <c r="L1198" s="28"/>
      <c r="M1198" s="28"/>
      <c r="N1198" s="28"/>
      <c r="O1198" s="28"/>
      <c r="P1198" s="28"/>
      <c r="Q1198" s="28"/>
      <c r="R1198" s="28"/>
      <c r="S1198" s="28"/>
      <c r="T1198" s="28"/>
      <c r="U1198" s="28"/>
      <c r="V1198" s="28"/>
      <c r="W1198" s="28"/>
      <c r="X1198" s="28"/>
      <c r="Y1198" s="28"/>
      <c r="Z1198" s="28"/>
      <c r="AA1198" s="28"/>
      <c r="AB1198" s="28"/>
      <c r="AC1198" s="28"/>
      <c r="AD1198" s="28"/>
      <c r="AE1198" s="28"/>
      <c r="AF1198" s="28"/>
      <c r="AG1198" s="28"/>
      <c r="AH1198" s="28"/>
      <c r="AI1198" s="28"/>
      <c r="AJ1198" s="28"/>
      <c r="AK1198" s="28"/>
      <c r="AL1198" s="28"/>
      <c r="AM1198" s="28"/>
      <c r="AN1198" s="28"/>
      <c r="AO1198" s="28"/>
      <c r="AP1198" s="28"/>
      <c r="AQ1198" s="28"/>
      <c r="AR1198" s="28"/>
      <c r="AS1198" s="28"/>
      <c r="AT1198" s="28"/>
      <c r="AU1198" s="28"/>
      <c r="AV1198" s="28"/>
      <c r="AW1198" s="28"/>
      <c r="AX1198" s="28"/>
      <c r="AY1198" s="28"/>
      <c r="AZ1198" s="28"/>
      <c r="BA1198" s="28"/>
      <c r="BB1198" s="28"/>
      <c r="BC1198" s="28"/>
      <c r="BD1198" s="28"/>
      <c r="BE1198" s="28"/>
      <c r="BF1198" s="28"/>
      <c r="BG1198" s="28"/>
      <c r="BH1198" s="28"/>
      <c r="BI1198" s="28"/>
      <c r="BJ1198" s="28"/>
      <c r="BK1198" s="28"/>
      <c r="BL1198" s="28"/>
    </row>
    <row r="1199" spans="1:64" ht="12.75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28"/>
      <c r="L1199" s="28"/>
      <c r="M1199" s="28"/>
      <c r="N1199" s="28"/>
      <c r="O1199" s="28"/>
      <c r="P1199" s="28"/>
      <c r="Q1199" s="28"/>
      <c r="R1199" s="28"/>
      <c r="S1199" s="28"/>
      <c r="T1199" s="28"/>
      <c r="U1199" s="28"/>
      <c r="V1199" s="28"/>
      <c r="W1199" s="28"/>
      <c r="X1199" s="28"/>
      <c r="Y1199" s="28"/>
      <c r="Z1199" s="28"/>
      <c r="AA1199" s="28"/>
      <c r="AB1199" s="28"/>
      <c r="AC1199" s="28"/>
      <c r="AD1199" s="28"/>
      <c r="AE1199" s="28"/>
      <c r="AF1199" s="28"/>
      <c r="AG1199" s="28"/>
      <c r="AH1199" s="28"/>
      <c r="AI1199" s="28"/>
      <c r="AJ1199" s="28"/>
      <c r="AK1199" s="28"/>
      <c r="AL1199" s="28"/>
      <c r="AM1199" s="28"/>
      <c r="AN1199" s="28"/>
      <c r="AO1199" s="28"/>
      <c r="AP1199" s="28"/>
      <c r="AQ1199" s="28"/>
      <c r="AR1199" s="28"/>
      <c r="AS1199" s="28"/>
      <c r="AT1199" s="28"/>
      <c r="AU1199" s="28"/>
      <c r="AV1199" s="28"/>
      <c r="AW1199" s="28"/>
      <c r="AX1199" s="28"/>
      <c r="AY1199" s="28"/>
      <c r="AZ1199" s="28"/>
      <c r="BA1199" s="28"/>
      <c r="BB1199" s="28"/>
      <c r="BC1199" s="28"/>
      <c r="BD1199" s="28"/>
      <c r="BE1199" s="28"/>
      <c r="BF1199" s="28"/>
      <c r="BG1199" s="28"/>
      <c r="BH1199" s="28"/>
      <c r="BI1199" s="28"/>
      <c r="BJ1199" s="28"/>
      <c r="BK1199" s="28"/>
      <c r="BL1199" s="28"/>
    </row>
    <row r="1200" spans="1:64" ht="12.75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28"/>
      <c r="L1200" s="28"/>
      <c r="M1200" s="28"/>
      <c r="N1200" s="28"/>
      <c r="O1200" s="28"/>
      <c r="P1200" s="28"/>
      <c r="Q1200" s="28"/>
      <c r="R1200" s="28"/>
      <c r="S1200" s="28"/>
      <c r="T1200" s="28"/>
      <c r="U1200" s="28"/>
      <c r="V1200" s="28"/>
      <c r="W1200" s="28"/>
      <c r="X1200" s="28"/>
      <c r="Y1200" s="28"/>
      <c r="Z1200" s="28"/>
      <c r="AA1200" s="28"/>
      <c r="AB1200" s="28"/>
      <c r="AC1200" s="28"/>
      <c r="AD1200" s="28"/>
      <c r="AE1200" s="28"/>
      <c r="AF1200" s="28"/>
      <c r="AG1200" s="28"/>
      <c r="AH1200" s="28"/>
      <c r="AI1200" s="28"/>
      <c r="AJ1200" s="28"/>
      <c r="AK1200" s="28"/>
      <c r="AL1200" s="28"/>
      <c r="AM1200" s="28"/>
      <c r="AN1200" s="28"/>
      <c r="AO1200" s="28"/>
      <c r="AP1200" s="28"/>
      <c r="AQ1200" s="28"/>
      <c r="AR1200" s="28"/>
      <c r="AS1200" s="28"/>
      <c r="AT1200" s="28"/>
      <c r="AU1200" s="28"/>
      <c r="AV1200" s="28"/>
      <c r="AW1200" s="28"/>
      <c r="AX1200" s="28"/>
      <c r="AY1200" s="28"/>
      <c r="AZ1200" s="28"/>
      <c r="BA1200" s="28"/>
      <c r="BB1200" s="28"/>
      <c r="BC1200" s="28"/>
      <c r="BD1200" s="28"/>
      <c r="BE1200" s="28"/>
      <c r="BF1200" s="28"/>
      <c r="BG1200" s="28"/>
      <c r="BH1200" s="28"/>
      <c r="BI1200" s="28"/>
      <c r="BJ1200" s="28"/>
      <c r="BK1200" s="28"/>
      <c r="BL1200" s="28"/>
    </row>
    <row r="1201" spans="1:64" ht="12.75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28"/>
      <c r="L1201" s="28"/>
      <c r="M1201" s="28"/>
      <c r="N1201" s="28"/>
      <c r="O1201" s="28"/>
      <c r="P1201" s="28"/>
      <c r="Q1201" s="28"/>
      <c r="R1201" s="28"/>
      <c r="S1201" s="28"/>
      <c r="T1201" s="28"/>
      <c r="U1201" s="28"/>
      <c r="V1201" s="28"/>
      <c r="W1201" s="28"/>
      <c r="X1201" s="28"/>
      <c r="Y1201" s="28"/>
      <c r="Z1201" s="28"/>
      <c r="AA1201" s="28"/>
      <c r="AB1201" s="28"/>
      <c r="AC1201" s="28"/>
      <c r="AD1201" s="28"/>
      <c r="AE1201" s="28"/>
      <c r="AF1201" s="28"/>
      <c r="AG1201" s="28"/>
      <c r="AH1201" s="28"/>
      <c r="AI1201" s="28"/>
      <c r="AJ1201" s="28"/>
      <c r="AK1201" s="28"/>
      <c r="AL1201" s="28"/>
      <c r="AM1201" s="28"/>
      <c r="AN1201" s="28"/>
      <c r="AO1201" s="28"/>
      <c r="AP1201" s="28"/>
      <c r="AQ1201" s="28"/>
      <c r="AR1201" s="28"/>
      <c r="AS1201" s="28"/>
      <c r="AT1201" s="28"/>
      <c r="AU1201" s="28"/>
      <c r="AV1201" s="28"/>
      <c r="AW1201" s="28"/>
      <c r="AX1201" s="28"/>
      <c r="AY1201" s="28"/>
      <c r="AZ1201" s="28"/>
      <c r="BA1201" s="28"/>
      <c r="BB1201" s="28"/>
      <c r="BC1201" s="28"/>
      <c r="BD1201" s="28"/>
      <c r="BE1201" s="28"/>
      <c r="BF1201" s="28"/>
      <c r="BG1201" s="28"/>
      <c r="BH1201" s="28"/>
      <c r="BI1201" s="28"/>
      <c r="BJ1201" s="28"/>
      <c r="BK1201" s="28"/>
      <c r="BL1201" s="28"/>
    </row>
    <row r="1202" spans="1:64" ht="12.75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28"/>
      <c r="L1202" s="28"/>
      <c r="M1202" s="28"/>
      <c r="N1202" s="28"/>
      <c r="O1202" s="28"/>
      <c r="P1202" s="28"/>
      <c r="Q1202" s="28"/>
      <c r="R1202" s="28"/>
      <c r="S1202" s="28"/>
      <c r="T1202" s="28"/>
      <c r="U1202" s="28"/>
      <c r="V1202" s="28"/>
      <c r="W1202" s="28"/>
      <c r="X1202" s="28"/>
      <c r="Y1202" s="28"/>
      <c r="Z1202" s="28"/>
      <c r="AA1202" s="28"/>
      <c r="AB1202" s="28"/>
      <c r="AC1202" s="28"/>
      <c r="AD1202" s="28"/>
      <c r="AE1202" s="28"/>
      <c r="AF1202" s="28"/>
      <c r="AG1202" s="28"/>
      <c r="AH1202" s="28"/>
      <c r="AI1202" s="28"/>
      <c r="AJ1202" s="28"/>
      <c r="AK1202" s="28"/>
      <c r="AL1202" s="28"/>
      <c r="AM1202" s="28"/>
      <c r="AN1202" s="28"/>
      <c r="AO1202" s="28"/>
      <c r="AP1202" s="28"/>
      <c r="AQ1202" s="28"/>
      <c r="AR1202" s="28"/>
      <c r="AS1202" s="28"/>
      <c r="AT1202" s="28"/>
      <c r="AU1202" s="28"/>
      <c r="AV1202" s="28"/>
      <c r="AW1202" s="28"/>
      <c r="AX1202" s="28"/>
      <c r="AY1202" s="28"/>
      <c r="AZ1202" s="28"/>
      <c r="BA1202" s="28"/>
      <c r="BB1202" s="28"/>
      <c r="BC1202" s="28"/>
      <c r="BD1202" s="28"/>
      <c r="BE1202" s="28"/>
      <c r="BF1202" s="28"/>
      <c r="BG1202" s="28"/>
      <c r="BH1202" s="28"/>
      <c r="BI1202" s="28"/>
      <c r="BJ1202" s="28"/>
      <c r="BK1202" s="28"/>
      <c r="BL1202" s="28"/>
    </row>
    <row r="1203" spans="1:64" ht="12.75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28"/>
      <c r="L1203" s="28"/>
      <c r="M1203" s="28"/>
      <c r="N1203" s="28"/>
      <c r="O1203" s="28"/>
      <c r="P1203" s="28"/>
      <c r="Q1203" s="28"/>
      <c r="R1203" s="28"/>
      <c r="S1203" s="28"/>
      <c r="T1203" s="28"/>
      <c r="U1203" s="28"/>
      <c r="V1203" s="28"/>
      <c r="W1203" s="28"/>
      <c r="X1203" s="28"/>
      <c r="Y1203" s="28"/>
      <c r="Z1203" s="28"/>
      <c r="AA1203" s="28"/>
      <c r="AB1203" s="28"/>
      <c r="AC1203" s="28"/>
      <c r="AD1203" s="28"/>
      <c r="AE1203" s="28"/>
      <c r="AF1203" s="28"/>
      <c r="AG1203" s="28"/>
      <c r="AH1203" s="28"/>
      <c r="AI1203" s="28"/>
      <c r="AJ1203" s="28"/>
      <c r="AK1203" s="28"/>
      <c r="AL1203" s="28"/>
      <c r="AM1203" s="28"/>
      <c r="AN1203" s="28"/>
      <c r="AO1203" s="28"/>
      <c r="AP1203" s="28"/>
      <c r="AQ1203" s="28"/>
      <c r="AR1203" s="28"/>
      <c r="AS1203" s="28"/>
      <c r="AT1203" s="28"/>
      <c r="AU1203" s="28"/>
      <c r="AV1203" s="28"/>
      <c r="AW1203" s="28"/>
      <c r="AX1203" s="28"/>
      <c r="AY1203" s="28"/>
      <c r="AZ1203" s="28"/>
      <c r="BA1203" s="28"/>
      <c r="BB1203" s="28"/>
      <c r="BC1203" s="28"/>
      <c r="BD1203" s="28"/>
      <c r="BE1203" s="28"/>
      <c r="BF1203" s="28"/>
      <c r="BG1203" s="28"/>
      <c r="BH1203" s="28"/>
      <c r="BI1203" s="28"/>
      <c r="BJ1203" s="28"/>
      <c r="BK1203" s="28"/>
      <c r="BL1203" s="28"/>
    </row>
    <row r="1204" spans="1:64" ht="12.75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28"/>
      <c r="L1204" s="28"/>
      <c r="M1204" s="28"/>
      <c r="N1204" s="28"/>
      <c r="O1204" s="28"/>
      <c r="P1204" s="28"/>
      <c r="Q1204" s="28"/>
      <c r="R1204" s="28"/>
      <c r="S1204" s="28"/>
      <c r="T1204" s="28"/>
      <c r="U1204" s="28"/>
      <c r="V1204" s="28"/>
      <c r="W1204" s="28"/>
      <c r="X1204" s="28"/>
      <c r="Y1204" s="28"/>
      <c r="Z1204" s="28"/>
      <c r="AA1204" s="28"/>
      <c r="AB1204" s="28"/>
      <c r="AC1204" s="28"/>
      <c r="AD1204" s="28"/>
      <c r="AE1204" s="28"/>
      <c r="AF1204" s="28"/>
      <c r="AG1204" s="28"/>
      <c r="AH1204" s="28"/>
      <c r="AI1204" s="28"/>
      <c r="AJ1204" s="28"/>
      <c r="AK1204" s="28"/>
      <c r="AL1204" s="28"/>
      <c r="AM1204" s="28"/>
      <c r="AN1204" s="28"/>
      <c r="AO1204" s="28"/>
      <c r="AP1204" s="28"/>
      <c r="AQ1204" s="28"/>
      <c r="AR1204" s="28"/>
      <c r="AS1204" s="28"/>
      <c r="AT1204" s="28"/>
      <c r="AU1204" s="28"/>
      <c r="AV1204" s="28"/>
      <c r="AW1204" s="28"/>
      <c r="AX1204" s="28"/>
      <c r="AY1204" s="28"/>
      <c r="AZ1204" s="28"/>
      <c r="BA1204" s="28"/>
      <c r="BB1204" s="28"/>
      <c r="BC1204" s="28"/>
      <c r="BD1204" s="28"/>
      <c r="BE1204" s="28"/>
      <c r="BF1204" s="28"/>
      <c r="BG1204" s="28"/>
      <c r="BH1204" s="28"/>
      <c r="BI1204" s="28"/>
      <c r="BJ1204" s="28"/>
      <c r="BK1204" s="28"/>
      <c r="BL1204" s="28"/>
    </row>
    <row r="1205" spans="1:64" ht="12.75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28"/>
      <c r="L1205" s="28"/>
      <c r="M1205" s="28"/>
      <c r="N1205" s="28"/>
      <c r="O1205" s="28"/>
      <c r="P1205" s="28"/>
      <c r="Q1205" s="28"/>
      <c r="R1205" s="28"/>
      <c r="S1205" s="28"/>
      <c r="T1205" s="28"/>
      <c r="U1205" s="28"/>
      <c r="V1205" s="28"/>
      <c r="W1205" s="28"/>
      <c r="X1205" s="28"/>
      <c r="Y1205" s="28"/>
      <c r="Z1205" s="28"/>
      <c r="AA1205" s="28"/>
      <c r="AB1205" s="28"/>
      <c r="AC1205" s="28"/>
      <c r="AD1205" s="28"/>
      <c r="AE1205" s="28"/>
      <c r="AF1205" s="28"/>
      <c r="AG1205" s="28"/>
      <c r="AH1205" s="28"/>
      <c r="AI1205" s="28"/>
      <c r="AJ1205" s="28"/>
      <c r="AK1205" s="28"/>
      <c r="AL1205" s="28"/>
      <c r="AM1205" s="28"/>
      <c r="AN1205" s="28"/>
      <c r="AO1205" s="28"/>
      <c r="AP1205" s="28"/>
      <c r="AQ1205" s="28"/>
      <c r="AR1205" s="28"/>
      <c r="AS1205" s="28"/>
      <c r="AT1205" s="28"/>
      <c r="AU1205" s="28"/>
      <c r="AV1205" s="28"/>
      <c r="AW1205" s="28"/>
      <c r="AX1205" s="28"/>
      <c r="AY1205" s="28"/>
      <c r="AZ1205" s="28"/>
      <c r="BA1205" s="28"/>
      <c r="BB1205" s="28"/>
      <c r="BC1205" s="28"/>
      <c r="BD1205" s="28"/>
      <c r="BE1205" s="28"/>
      <c r="BF1205" s="28"/>
      <c r="BG1205" s="28"/>
      <c r="BH1205" s="28"/>
      <c r="BI1205" s="28"/>
      <c r="BJ1205" s="28"/>
      <c r="BK1205" s="28"/>
      <c r="BL1205" s="28"/>
    </row>
    <row r="1206" spans="1:64" ht="12.75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28"/>
      <c r="L1206" s="28"/>
      <c r="M1206" s="28"/>
      <c r="N1206" s="28"/>
      <c r="O1206" s="28"/>
      <c r="P1206" s="28"/>
      <c r="Q1206" s="28"/>
      <c r="R1206" s="28"/>
      <c r="S1206" s="28"/>
      <c r="T1206" s="28"/>
      <c r="U1206" s="28"/>
      <c r="V1206" s="28"/>
      <c r="W1206" s="28"/>
      <c r="X1206" s="28"/>
      <c r="Y1206" s="28"/>
      <c r="Z1206" s="28"/>
      <c r="AA1206" s="28"/>
      <c r="AB1206" s="28"/>
      <c r="AC1206" s="28"/>
      <c r="AD1206" s="28"/>
      <c r="AE1206" s="28"/>
      <c r="AF1206" s="28"/>
      <c r="AG1206" s="28"/>
      <c r="AH1206" s="28"/>
      <c r="AI1206" s="28"/>
      <c r="AJ1206" s="28"/>
      <c r="AK1206" s="28"/>
      <c r="AL1206" s="28"/>
      <c r="AM1206" s="28"/>
      <c r="AN1206" s="28"/>
      <c r="AO1206" s="28"/>
      <c r="AP1206" s="28"/>
      <c r="AQ1206" s="28"/>
      <c r="AR1206" s="28"/>
      <c r="AS1206" s="28"/>
      <c r="AT1206" s="28"/>
      <c r="AU1206" s="28"/>
      <c r="AV1206" s="28"/>
      <c r="AW1206" s="28"/>
      <c r="AX1206" s="28"/>
      <c r="AY1206" s="28"/>
      <c r="AZ1206" s="28"/>
      <c r="BA1206" s="28"/>
      <c r="BB1206" s="28"/>
      <c r="BC1206" s="28"/>
      <c r="BD1206" s="28"/>
      <c r="BE1206" s="28"/>
      <c r="BF1206" s="28"/>
      <c r="BG1206" s="28"/>
      <c r="BH1206" s="28"/>
      <c r="BI1206" s="28"/>
      <c r="BJ1206" s="28"/>
      <c r="BK1206" s="28"/>
      <c r="BL1206" s="28"/>
    </row>
    <row r="1207" spans="1:64" ht="12.75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28"/>
      <c r="L1207" s="28"/>
      <c r="M1207" s="28"/>
      <c r="N1207" s="28"/>
      <c r="O1207" s="28"/>
      <c r="P1207" s="28"/>
      <c r="Q1207" s="28"/>
      <c r="R1207" s="28"/>
      <c r="S1207" s="28"/>
      <c r="T1207" s="28"/>
      <c r="U1207" s="28"/>
      <c r="V1207" s="28"/>
      <c r="W1207" s="28"/>
      <c r="X1207" s="28"/>
      <c r="Y1207" s="28"/>
      <c r="Z1207" s="28"/>
      <c r="AA1207" s="28"/>
      <c r="AB1207" s="28"/>
      <c r="AC1207" s="28"/>
      <c r="AD1207" s="28"/>
      <c r="AE1207" s="28"/>
      <c r="AF1207" s="28"/>
      <c r="AG1207" s="28"/>
      <c r="AH1207" s="28"/>
      <c r="AI1207" s="28"/>
      <c r="AJ1207" s="28"/>
      <c r="AK1207" s="28"/>
      <c r="AL1207" s="28"/>
      <c r="AM1207" s="28"/>
      <c r="AN1207" s="28"/>
      <c r="AO1207" s="28"/>
      <c r="AP1207" s="28"/>
      <c r="AQ1207" s="28"/>
      <c r="AR1207" s="28"/>
      <c r="AS1207" s="28"/>
      <c r="AT1207" s="28"/>
      <c r="AU1207" s="28"/>
      <c r="AV1207" s="28"/>
      <c r="AW1207" s="28"/>
      <c r="AX1207" s="28"/>
      <c r="AY1207" s="28"/>
      <c r="AZ1207" s="28"/>
      <c r="BA1207" s="28"/>
      <c r="BB1207" s="28"/>
      <c r="BC1207" s="28"/>
      <c r="BD1207" s="28"/>
      <c r="BE1207" s="28"/>
      <c r="BF1207" s="28"/>
      <c r="BG1207" s="28"/>
      <c r="BH1207" s="28"/>
      <c r="BI1207" s="28"/>
      <c r="BJ1207" s="28"/>
      <c r="BK1207" s="28"/>
      <c r="BL1207" s="28"/>
    </row>
    <row r="1208" spans="1:64" ht="12.75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28"/>
      <c r="L1208" s="28"/>
      <c r="M1208" s="28"/>
      <c r="N1208" s="28"/>
      <c r="O1208" s="28"/>
      <c r="P1208" s="28"/>
      <c r="Q1208" s="28"/>
      <c r="R1208" s="28"/>
      <c r="S1208" s="28"/>
      <c r="T1208" s="28"/>
      <c r="U1208" s="28"/>
      <c r="V1208" s="28"/>
      <c r="W1208" s="28"/>
      <c r="X1208" s="28"/>
      <c r="Y1208" s="28"/>
      <c r="Z1208" s="28"/>
      <c r="AA1208" s="28"/>
      <c r="AB1208" s="28"/>
      <c r="AC1208" s="28"/>
      <c r="AD1208" s="28"/>
      <c r="AE1208" s="28"/>
      <c r="AF1208" s="28"/>
      <c r="AG1208" s="28"/>
      <c r="AH1208" s="28"/>
      <c r="AI1208" s="28"/>
      <c r="AJ1208" s="28"/>
      <c r="AK1208" s="28"/>
      <c r="AL1208" s="28"/>
      <c r="AM1208" s="28"/>
      <c r="AN1208" s="28"/>
      <c r="AO1208" s="28"/>
      <c r="AP1208" s="28"/>
      <c r="AQ1208" s="28"/>
      <c r="AR1208" s="28"/>
      <c r="AS1208" s="28"/>
      <c r="AT1208" s="28"/>
      <c r="AU1208" s="28"/>
      <c r="AV1208" s="28"/>
      <c r="AW1208" s="28"/>
      <c r="AX1208" s="28"/>
      <c r="AY1208" s="28"/>
      <c r="AZ1208" s="28"/>
      <c r="BA1208" s="28"/>
      <c r="BB1208" s="28"/>
      <c r="BC1208" s="28"/>
      <c r="BD1208" s="28"/>
      <c r="BE1208" s="28"/>
      <c r="BF1208" s="28"/>
      <c r="BG1208" s="28"/>
      <c r="BH1208" s="28"/>
      <c r="BI1208" s="28"/>
      <c r="BJ1208" s="28"/>
      <c r="BK1208" s="28"/>
      <c r="BL1208" s="28"/>
    </row>
    <row r="1209" spans="1:64" ht="12.75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28"/>
      <c r="Q1209" s="28"/>
      <c r="R1209" s="28"/>
      <c r="S1209" s="28"/>
      <c r="T1209" s="28"/>
      <c r="U1209" s="28"/>
      <c r="V1209" s="28"/>
      <c r="W1209" s="28"/>
      <c r="X1209" s="28"/>
      <c r="Y1209" s="28"/>
      <c r="Z1209" s="28"/>
      <c r="AA1209" s="28"/>
      <c r="AB1209" s="28"/>
      <c r="AC1209" s="28"/>
      <c r="AD1209" s="28"/>
      <c r="AE1209" s="28"/>
      <c r="AF1209" s="28"/>
      <c r="AG1209" s="28"/>
      <c r="AH1209" s="28"/>
      <c r="AI1209" s="28"/>
      <c r="AJ1209" s="28"/>
      <c r="AK1209" s="28"/>
      <c r="AL1209" s="28"/>
      <c r="AM1209" s="28"/>
      <c r="AN1209" s="28"/>
      <c r="AO1209" s="28"/>
      <c r="AP1209" s="28"/>
      <c r="AQ1209" s="28"/>
      <c r="AR1209" s="28"/>
      <c r="AS1209" s="28"/>
      <c r="AT1209" s="28"/>
      <c r="AU1209" s="28"/>
      <c r="AV1209" s="28"/>
      <c r="AW1209" s="28"/>
      <c r="AX1209" s="28"/>
      <c r="AY1209" s="28"/>
      <c r="AZ1209" s="28"/>
      <c r="BA1209" s="28"/>
      <c r="BB1209" s="28"/>
      <c r="BC1209" s="28"/>
      <c r="BD1209" s="28"/>
      <c r="BE1209" s="28"/>
      <c r="BF1209" s="28"/>
      <c r="BG1209" s="28"/>
      <c r="BH1209" s="28"/>
      <c r="BI1209" s="28"/>
      <c r="BJ1209" s="28"/>
      <c r="BK1209" s="28"/>
      <c r="BL1209" s="28"/>
    </row>
    <row r="1210" spans="1:64" ht="12.75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28"/>
      <c r="L1210" s="28"/>
      <c r="M1210" s="28"/>
      <c r="N1210" s="28"/>
      <c r="O1210" s="28"/>
      <c r="P1210" s="28"/>
      <c r="Q1210" s="28"/>
      <c r="R1210" s="28"/>
      <c r="S1210" s="28"/>
      <c r="T1210" s="28"/>
      <c r="U1210" s="28"/>
      <c r="V1210" s="28"/>
      <c r="W1210" s="28"/>
      <c r="X1210" s="28"/>
      <c r="Y1210" s="28"/>
      <c r="Z1210" s="28"/>
      <c r="AA1210" s="28"/>
      <c r="AB1210" s="28"/>
      <c r="AC1210" s="28"/>
      <c r="AD1210" s="28"/>
      <c r="AE1210" s="28"/>
      <c r="AF1210" s="28"/>
      <c r="AG1210" s="28"/>
      <c r="AH1210" s="28"/>
      <c r="AI1210" s="28"/>
      <c r="AJ1210" s="28"/>
      <c r="AK1210" s="28"/>
      <c r="AL1210" s="28"/>
      <c r="AM1210" s="28"/>
      <c r="AN1210" s="28"/>
      <c r="AO1210" s="28"/>
      <c r="AP1210" s="28"/>
      <c r="AQ1210" s="28"/>
      <c r="AR1210" s="28"/>
      <c r="AS1210" s="28"/>
      <c r="AT1210" s="28"/>
      <c r="AU1210" s="28"/>
      <c r="AV1210" s="28"/>
      <c r="AW1210" s="28"/>
      <c r="AX1210" s="28"/>
      <c r="AY1210" s="28"/>
      <c r="AZ1210" s="28"/>
      <c r="BA1210" s="28"/>
      <c r="BB1210" s="28"/>
      <c r="BC1210" s="28"/>
      <c r="BD1210" s="28"/>
      <c r="BE1210" s="28"/>
      <c r="BF1210" s="28"/>
      <c r="BG1210" s="28"/>
      <c r="BH1210" s="28"/>
      <c r="BI1210" s="28"/>
      <c r="BJ1210" s="28"/>
      <c r="BK1210" s="28"/>
      <c r="BL1210" s="28"/>
    </row>
    <row r="1211" spans="1:64" ht="12.75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28"/>
      <c r="L1211" s="28"/>
      <c r="M1211" s="28"/>
      <c r="N1211" s="28"/>
      <c r="O1211" s="28"/>
      <c r="P1211" s="28"/>
      <c r="Q1211" s="28"/>
      <c r="R1211" s="28"/>
      <c r="S1211" s="28"/>
      <c r="T1211" s="28"/>
      <c r="U1211" s="28"/>
      <c r="V1211" s="28"/>
      <c r="W1211" s="28"/>
      <c r="X1211" s="28"/>
      <c r="Y1211" s="28"/>
      <c r="Z1211" s="28"/>
      <c r="AA1211" s="28"/>
      <c r="AB1211" s="28"/>
      <c r="AC1211" s="28"/>
      <c r="AD1211" s="28"/>
      <c r="AE1211" s="28"/>
      <c r="AF1211" s="28"/>
      <c r="AG1211" s="28"/>
      <c r="AH1211" s="28"/>
      <c r="AI1211" s="28"/>
      <c r="AJ1211" s="28"/>
      <c r="AK1211" s="28"/>
      <c r="AL1211" s="28"/>
      <c r="AM1211" s="28"/>
      <c r="AN1211" s="28"/>
      <c r="AO1211" s="28"/>
      <c r="AP1211" s="28"/>
      <c r="AQ1211" s="28"/>
      <c r="AR1211" s="28"/>
      <c r="AS1211" s="28"/>
      <c r="AT1211" s="28"/>
      <c r="AU1211" s="28"/>
      <c r="AV1211" s="28"/>
      <c r="AW1211" s="28"/>
      <c r="AX1211" s="28"/>
      <c r="AY1211" s="28"/>
      <c r="AZ1211" s="28"/>
      <c r="BA1211" s="28"/>
      <c r="BB1211" s="28"/>
      <c r="BC1211" s="28"/>
      <c r="BD1211" s="28"/>
      <c r="BE1211" s="28"/>
      <c r="BF1211" s="28"/>
      <c r="BG1211" s="28"/>
      <c r="BH1211" s="28"/>
      <c r="BI1211" s="28"/>
      <c r="BJ1211" s="28"/>
      <c r="BK1211" s="28"/>
      <c r="BL1211" s="28"/>
    </row>
    <row r="1212" spans="1:64" ht="12.75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28"/>
      <c r="L1212" s="28"/>
      <c r="M1212" s="28"/>
      <c r="N1212" s="28"/>
      <c r="O1212" s="28"/>
      <c r="P1212" s="28"/>
      <c r="Q1212" s="28"/>
      <c r="R1212" s="28"/>
      <c r="S1212" s="28"/>
      <c r="T1212" s="28"/>
      <c r="U1212" s="28"/>
      <c r="V1212" s="28"/>
      <c r="W1212" s="28"/>
      <c r="X1212" s="28"/>
      <c r="Y1212" s="28"/>
      <c r="Z1212" s="28"/>
      <c r="AA1212" s="28"/>
      <c r="AB1212" s="28"/>
      <c r="AC1212" s="28"/>
      <c r="AD1212" s="28"/>
      <c r="AE1212" s="28"/>
      <c r="AF1212" s="28"/>
      <c r="AG1212" s="28"/>
      <c r="AH1212" s="28"/>
      <c r="AI1212" s="28"/>
      <c r="AJ1212" s="28"/>
      <c r="AK1212" s="28"/>
      <c r="AL1212" s="28"/>
      <c r="AM1212" s="28"/>
      <c r="AN1212" s="28"/>
      <c r="AO1212" s="28"/>
      <c r="AP1212" s="28"/>
      <c r="AQ1212" s="28"/>
      <c r="AR1212" s="28"/>
      <c r="AS1212" s="28"/>
      <c r="AT1212" s="28"/>
      <c r="AU1212" s="28"/>
      <c r="AV1212" s="28"/>
      <c r="AW1212" s="28"/>
      <c r="AX1212" s="28"/>
      <c r="AY1212" s="28"/>
      <c r="AZ1212" s="28"/>
      <c r="BA1212" s="28"/>
      <c r="BB1212" s="28"/>
      <c r="BC1212" s="28"/>
      <c r="BD1212" s="28"/>
      <c r="BE1212" s="28"/>
      <c r="BF1212" s="28"/>
      <c r="BG1212" s="28"/>
      <c r="BH1212" s="28"/>
      <c r="BI1212" s="28"/>
      <c r="BJ1212" s="28"/>
      <c r="BK1212" s="28"/>
      <c r="BL1212" s="28"/>
    </row>
    <row r="1213" spans="1:64" ht="12.75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28"/>
      <c r="Q1213" s="28"/>
      <c r="R1213" s="28"/>
      <c r="S1213" s="28"/>
      <c r="T1213" s="28"/>
      <c r="U1213" s="28"/>
      <c r="V1213" s="28"/>
      <c r="W1213" s="28"/>
      <c r="X1213" s="28"/>
      <c r="Y1213" s="28"/>
      <c r="Z1213" s="28"/>
      <c r="AA1213" s="28"/>
      <c r="AB1213" s="28"/>
      <c r="AC1213" s="28"/>
      <c r="AD1213" s="28"/>
      <c r="AE1213" s="28"/>
      <c r="AF1213" s="28"/>
      <c r="AG1213" s="28"/>
      <c r="AH1213" s="28"/>
      <c r="AI1213" s="28"/>
      <c r="AJ1213" s="28"/>
      <c r="AK1213" s="28"/>
      <c r="AL1213" s="28"/>
      <c r="AM1213" s="28"/>
      <c r="AN1213" s="28"/>
      <c r="AO1213" s="28"/>
      <c r="AP1213" s="28"/>
      <c r="AQ1213" s="28"/>
      <c r="AR1213" s="28"/>
      <c r="AS1213" s="28"/>
      <c r="AT1213" s="28"/>
      <c r="AU1213" s="28"/>
      <c r="AV1213" s="28"/>
      <c r="AW1213" s="28"/>
      <c r="AX1213" s="28"/>
      <c r="AY1213" s="28"/>
      <c r="AZ1213" s="28"/>
      <c r="BA1213" s="28"/>
      <c r="BB1213" s="28"/>
      <c r="BC1213" s="28"/>
      <c r="BD1213" s="28"/>
      <c r="BE1213" s="28"/>
      <c r="BF1213" s="28"/>
      <c r="BG1213" s="28"/>
      <c r="BH1213" s="28"/>
      <c r="BI1213" s="28"/>
      <c r="BJ1213" s="28"/>
      <c r="BK1213" s="28"/>
      <c r="BL1213" s="28"/>
    </row>
    <row r="1214" spans="1:64" ht="12.75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  <c r="P1214" s="28"/>
      <c r="Q1214" s="28"/>
      <c r="R1214" s="28"/>
      <c r="S1214" s="28"/>
      <c r="T1214" s="28"/>
      <c r="U1214" s="28"/>
      <c r="V1214" s="28"/>
      <c r="W1214" s="28"/>
      <c r="X1214" s="28"/>
      <c r="Y1214" s="28"/>
      <c r="Z1214" s="28"/>
      <c r="AA1214" s="28"/>
      <c r="AB1214" s="28"/>
      <c r="AC1214" s="28"/>
      <c r="AD1214" s="28"/>
      <c r="AE1214" s="28"/>
      <c r="AF1214" s="28"/>
      <c r="AG1214" s="28"/>
      <c r="AH1214" s="28"/>
      <c r="AI1214" s="28"/>
      <c r="AJ1214" s="28"/>
      <c r="AK1214" s="28"/>
      <c r="AL1214" s="28"/>
      <c r="AM1214" s="28"/>
      <c r="AN1214" s="28"/>
      <c r="AO1214" s="28"/>
      <c r="AP1214" s="28"/>
      <c r="AQ1214" s="28"/>
      <c r="AR1214" s="28"/>
      <c r="AS1214" s="28"/>
      <c r="AT1214" s="28"/>
      <c r="AU1214" s="28"/>
      <c r="AV1214" s="28"/>
      <c r="AW1214" s="28"/>
      <c r="AX1214" s="28"/>
      <c r="AY1214" s="28"/>
      <c r="AZ1214" s="28"/>
      <c r="BA1214" s="28"/>
      <c r="BB1214" s="28"/>
      <c r="BC1214" s="28"/>
      <c r="BD1214" s="28"/>
      <c r="BE1214" s="28"/>
      <c r="BF1214" s="28"/>
      <c r="BG1214" s="28"/>
      <c r="BH1214" s="28"/>
      <c r="BI1214" s="28"/>
      <c r="BJ1214" s="28"/>
      <c r="BK1214" s="28"/>
      <c r="BL1214" s="28"/>
    </row>
    <row r="1215" spans="1:64" ht="12.75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28"/>
      <c r="L1215" s="28"/>
      <c r="M1215" s="28"/>
      <c r="N1215" s="28"/>
      <c r="O1215" s="28"/>
      <c r="P1215" s="28"/>
      <c r="Q1215" s="28"/>
      <c r="R1215" s="28"/>
      <c r="S1215" s="28"/>
      <c r="T1215" s="28"/>
      <c r="U1215" s="28"/>
      <c r="V1215" s="28"/>
      <c r="W1215" s="28"/>
      <c r="X1215" s="28"/>
      <c r="Y1215" s="28"/>
      <c r="Z1215" s="28"/>
      <c r="AA1215" s="28"/>
      <c r="AB1215" s="28"/>
      <c r="AC1215" s="28"/>
      <c r="AD1215" s="28"/>
      <c r="AE1215" s="28"/>
      <c r="AF1215" s="28"/>
      <c r="AG1215" s="28"/>
      <c r="AH1215" s="28"/>
      <c r="AI1215" s="28"/>
      <c r="AJ1215" s="28"/>
      <c r="AK1215" s="28"/>
      <c r="AL1215" s="28"/>
      <c r="AM1215" s="28"/>
      <c r="AN1215" s="28"/>
      <c r="AO1215" s="28"/>
      <c r="AP1215" s="28"/>
      <c r="AQ1215" s="28"/>
      <c r="AR1215" s="28"/>
      <c r="AS1215" s="28"/>
      <c r="AT1215" s="28"/>
      <c r="AU1215" s="28"/>
      <c r="AV1215" s="28"/>
      <c r="AW1215" s="28"/>
      <c r="AX1215" s="28"/>
      <c r="AY1215" s="28"/>
      <c r="AZ1215" s="28"/>
      <c r="BA1215" s="28"/>
      <c r="BB1215" s="28"/>
      <c r="BC1215" s="28"/>
      <c r="BD1215" s="28"/>
      <c r="BE1215" s="28"/>
      <c r="BF1215" s="28"/>
      <c r="BG1215" s="28"/>
      <c r="BH1215" s="28"/>
      <c r="BI1215" s="28"/>
      <c r="BJ1215" s="28"/>
      <c r="BK1215" s="28"/>
      <c r="BL1215" s="28"/>
    </row>
    <row r="1216" spans="1:64" ht="12.75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28"/>
      <c r="L1216" s="28"/>
      <c r="M1216" s="28"/>
      <c r="N1216" s="28"/>
      <c r="O1216" s="28"/>
      <c r="P1216" s="28"/>
      <c r="Q1216" s="28"/>
      <c r="R1216" s="28"/>
      <c r="S1216" s="28"/>
      <c r="T1216" s="28"/>
      <c r="U1216" s="28"/>
      <c r="V1216" s="28"/>
      <c r="W1216" s="28"/>
      <c r="X1216" s="28"/>
      <c r="Y1216" s="28"/>
      <c r="Z1216" s="28"/>
      <c r="AA1216" s="28"/>
      <c r="AB1216" s="28"/>
      <c r="AC1216" s="28"/>
      <c r="AD1216" s="28"/>
      <c r="AE1216" s="28"/>
      <c r="AF1216" s="28"/>
      <c r="AG1216" s="28"/>
      <c r="AH1216" s="28"/>
      <c r="AI1216" s="28"/>
      <c r="AJ1216" s="28"/>
      <c r="AK1216" s="28"/>
      <c r="AL1216" s="28"/>
      <c r="AM1216" s="28"/>
      <c r="AN1216" s="28"/>
      <c r="AO1216" s="28"/>
      <c r="AP1216" s="28"/>
      <c r="AQ1216" s="28"/>
      <c r="AR1216" s="28"/>
      <c r="AS1216" s="28"/>
      <c r="AT1216" s="28"/>
      <c r="AU1216" s="28"/>
      <c r="AV1216" s="28"/>
      <c r="AW1216" s="28"/>
      <c r="AX1216" s="28"/>
      <c r="AY1216" s="28"/>
      <c r="AZ1216" s="28"/>
      <c r="BA1216" s="28"/>
      <c r="BB1216" s="28"/>
      <c r="BC1216" s="28"/>
      <c r="BD1216" s="28"/>
      <c r="BE1216" s="28"/>
      <c r="BF1216" s="28"/>
      <c r="BG1216" s="28"/>
      <c r="BH1216" s="28"/>
      <c r="BI1216" s="28"/>
      <c r="BJ1216" s="28"/>
      <c r="BK1216" s="28"/>
      <c r="BL1216" s="28"/>
    </row>
    <row r="1217" spans="1:64" ht="12.75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28"/>
      <c r="L1217" s="28"/>
      <c r="M1217" s="28"/>
      <c r="N1217" s="28"/>
      <c r="O1217" s="28"/>
      <c r="P1217" s="28"/>
      <c r="Q1217" s="28"/>
      <c r="R1217" s="28"/>
      <c r="S1217" s="28"/>
      <c r="T1217" s="28"/>
      <c r="U1217" s="28"/>
      <c r="V1217" s="28"/>
      <c r="W1217" s="28"/>
      <c r="X1217" s="28"/>
      <c r="Y1217" s="28"/>
      <c r="Z1217" s="28"/>
      <c r="AA1217" s="28"/>
      <c r="AB1217" s="28"/>
      <c r="AC1217" s="28"/>
      <c r="AD1217" s="28"/>
      <c r="AE1217" s="28"/>
      <c r="AF1217" s="28"/>
      <c r="AG1217" s="28"/>
      <c r="AH1217" s="28"/>
      <c r="AI1217" s="28"/>
      <c r="AJ1217" s="28"/>
      <c r="AK1217" s="28"/>
      <c r="AL1217" s="28"/>
      <c r="AM1217" s="28"/>
      <c r="AN1217" s="28"/>
      <c r="AO1217" s="28"/>
      <c r="AP1217" s="28"/>
      <c r="AQ1217" s="28"/>
      <c r="AR1217" s="28"/>
      <c r="AS1217" s="28"/>
      <c r="AT1217" s="28"/>
      <c r="AU1217" s="28"/>
      <c r="AV1217" s="28"/>
      <c r="AW1217" s="28"/>
      <c r="AX1217" s="28"/>
      <c r="AY1217" s="28"/>
      <c r="AZ1217" s="28"/>
      <c r="BA1217" s="28"/>
      <c r="BB1217" s="28"/>
      <c r="BC1217" s="28"/>
      <c r="BD1217" s="28"/>
      <c r="BE1217" s="28"/>
      <c r="BF1217" s="28"/>
      <c r="BG1217" s="28"/>
      <c r="BH1217" s="28"/>
      <c r="BI1217" s="28"/>
      <c r="BJ1217" s="28"/>
      <c r="BK1217" s="28"/>
      <c r="BL1217" s="28"/>
    </row>
    <row r="1218" spans="1:64" ht="12.75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28"/>
      <c r="L1218" s="28"/>
      <c r="M1218" s="28"/>
      <c r="N1218" s="28"/>
      <c r="O1218" s="28"/>
      <c r="P1218" s="28"/>
      <c r="Q1218" s="28"/>
      <c r="R1218" s="28"/>
      <c r="S1218" s="28"/>
      <c r="T1218" s="28"/>
      <c r="U1218" s="28"/>
      <c r="V1218" s="28"/>
      <c r="W1218" s="28"/>
      <c r="X1218" s="28"/>
      <c r="Y1218" s="28"/>
      <c r="Z1218" s="28"/>
      <c r="AA1218" s="28"/>
      <c r="AB1218" s="28"/>
      <c r="AC1218" s="28"/>
      <c r="AD1218" s="28"/>
      <c r="AE1218" s="28"/>
      <c r="AF1218" s="28"/>
      <c r="AG1218" s="28"/>
      <c r="AH1218" s="28"/>
      <c r="AI1218" s="28"/>
      <c r="AJ1218" s="28"/>
      <c r="AK1218" s="28"/>
      <c r="AL1218" s="28"/>
      <c r="AM1218" s="28"/>
      <c r="AN1218" s="28"/>
      <c r="AO1218" s="28"/>
      <c r="AP1218" s="28"/>
      <c r="AQ1218" s="28"/>
      <c r="AR1218" s="28"/>
      <c r="AS1218" s="28"/>
      <c r="AT1218" s="28"/>
      <c r="AU1218" s="28"/>
      <c r="AV1218" s="28"/>
      <c r="AW1218" s="28"/>
      <c r="AX1218" s="28"/>
      <c r="AY1218" s="28"/>
      <c r="AZ1218" s="28"/>
      <c r="BA1218" s="28"/>
      <c r="BB1218" s="28"/>
      <c r="BC1218" s="28"/>
      <c r="BD1218" s="28"/>
      <c r="BE1218" s="28"/>
      <c r="BF1218" s="28"/>
      <c r="BG1218" s="28"/>
      <c r="BH1218" s="28"/>
      <c r="BI1218" s="28"/>
      <c r="BJ1218" s="28"/>
      <c r="BK1218" s="28"/>
      <c r="BL1218" s="28"/>
    </row>
    <row r="1219" spans="1:64" ht="12.75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28"/>
      <c r="L1219" s="28"/>
      <c r="M1219" s="28"/>
      <c r="N1219" s="28"/>
      <c r="O1219" s="28"/>
      <c r="P1219" s="28"/>
      <c r="Q1219" s="28"/>
      <c r="R1219" s="28"/>
      <c r="S1219" s="28"/>
      <c r="T1219" s="28"/>
      <c r="U1219" s="28"/>
      <c r="V1219" s="28"/>
      <c r="W1219" s="28"/>
      <c r="X1219" s="28"/>
      <c r="Y1219" s="28"/>
      <c r="Z1219" s="28"/>
      <c r="AA1219" s="28"/>
      <c r="AB1219" s="28"/>
      <c r="AC1219" s="28"/>
      <c r="AD1219" s="28"/>
      <c r="AE1219" s="28"/>
      <c r="AF1219" s="28"/>
      <c r="AG1219" s="28"/>
      <c r="AH1219" s="28"/>
      <c r="AI1219" s="28"/>
      <c r="AJ1219" s="28"/>
      <c r="AK1219" s="28"/>
      <c r="AL1219" s="28"/>
      <c r="AM1219" s="28"/>
      <c r="AN1219" s="28"/>
      <c r="AO1219" s="28"/>
      <c r="AP1219" s="28"/>
      <c r="AQ1219" s="28"/>
      <c r="AR1219" s="28"/>
      <c r="AS1219" s="28"/>
      <c r="AT1219" s="28"/>
      <c r="AU1219" s="28"/>
      <c r="AV1219" s="28"/>
      <c r="AW1219" s="28"/>
      <c r="AX1219" s="28"/>
      <c r="AY1219" s="28"/>
      <c r="AZ1219" s="28"/>
      <c r="BA1219" s="28"/>
      <c r="BB1219" s="28"/>
      <c r="BC1219" s="28"/>
      <c r="BD1219" s="28"/>
      <c r="BE1219" s="28"/>
      <c r="BF1219" s="28"/>
      <c r="BG1219" s="28"/>
      <c r="BH1219" s="28"/>
      <c r="BI1219" s="28"/>
      <c r="BJ1219" s="28"/>
      <c r="BK1219" s="28"/>
      <c r="BL1219" s="28"/>
    </row>
    <row r="1220" spans="1:64" ht="12.75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28"/>
      <c r="L1220" s="28"/>
      <c r="M1220" s="28"/>
      <c r="N1220" s="28"/>
      <c r="O1220" s="28"/>
      <c r="P1220" s="28"/>
      <c r="Q1220" s="28"/>
      <c r="R1220" s="28"/>
      <c r="S1220" s="28"/>
      <c r="T1220" s="28"/>
      <c r="U1220" s="28"/>
      <c r="V1220" s="28"/>
      <c r="W1220" s="28"/>
      <c r="X1220" s="28"/>
      <c r="Y1220" s="28"/>
      <c r="Z1220" s="28"/>
      <c r="AA1220" s="28"/>
      <c r="AB1220" s="28"/>
      <c r="AC1220" s="28"/>
      <c r="AD1220" s="28"/>
      <c r="AE1220" s="28"/>
      <c r="AF1220" s="28"/>
      <c r="AG1220" s="28"/>
      <c r="AH1220" s="28"/>
      <c r="AI1220" s="28"/>
      <c r="AJ1220" s="28"/>
      <c r="AK1220" s="28"/>
      <c r="AL1220" s="28"/>
      <c r="AM1220" s="28"/>
      <c r="AN1220" s="28"/>
      <c r="AO1220" s="28"/>
      <c r="AP1220" s="28"/>
      <c r="AQ1220" s="28"/>
      <c r="AR1220" s="28"/>
      <c r="AS1220" s="28"/>
      <c r="AT1220" s="28"/>
      <c r="AU1220" s="28"/>
      <c r="AV1220" s="28"/>
      <c r="AW1220" s="28"/>
      <c r="AX1220" s="28"/>
      <c r="AY1220" s="28"/>
      <c r="AZ1220" s="28"/>
      <c r="BA1220" s="28"/>
      <c r="BB1220" s="28"/>
      <c r="BC1220" s="28"/>
      <c r="BD1220" s="28"/>
      <c r="BE1220" s="28"/>
      <c r="BF1220" s="28"/>
      <c r="BG1220" s="28"/>
      <c r="BH1220" s="28"/>
      <c r="BI1220" s="28"/>
      <c r="BJ1220" s="28"/>
      <c r="BK1220" s="28"/>
      <c r="BL1220" s="28"/>
    </row>
    <row r="1221" spans="1:64" ht="12.75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28"/>
      <c r="L1221" s="28"/>
      <c r="M1221" s="28"/>
      <c r="N1221" s="28"/>
      <c r="O1221" s="28"/>
      <c r="P1221" s="28"/>
      <c r="Q1221" s="28"/>
      <c r="R1221" s="28"/>
      <c r="S1221" s="28"/>
      <c r="T1221" s="28"/>
      <c r="U1221" s="28"/>
      <c r="V1221" s="28"/>
      <c r="W1221" s="28"/>
      <c r="X1221" s="28"/>
      <c r="Y1221" s="28"/>
      <c r="Z1221" s="28"/>
      <c r="AA1221" s="28"/>
      <c r="AB1221" s="28"/>
      <c r="AC1221" s="28"/>
      <c r="AD1221" s="28"/>
      <c r="AE1221" s="28"/>
      <c r="AF1221" s="28"/>
      <c r="AG1221" s="28"/>
      <c r="AH1221" s="28"/>
      <c r="AI1221" s="28"/>
      <c r="AJ1221" s="28"/>
      <c r="AK1221" s="28"/>
      <c r="AL1221" s="28"/>
      <c r="AM1221" s="28"/>
      <c r="AN1221" s="28"/>
      <c r="AO1221" s="28"/>
      <c r="AP1221" s="28"/>
      <c r="AQ1221" s="28"/>
      <c r="AR1221" s="28"/>
      <c r="AS1221" s="28"/>
      <c r="AT1221" s="28"/>
      <c r="AU1221" s="28"/>
      <c r="AV1221" s="28"/>
      <c r="AW1221" s="28"/>
      <c r="AX1221" s="28"/>
      <c r="AY1221" s="28"/>
      <c r="AZ1221" s="28"/>
      <c r="BA1221" s="28"/>
      <c r="BB1221" s="28"/>
      <c r="BC1221" s="28"/>
      <c r="BD1221" s="28"/>
      <c r="BE1221" s="28"/>
      <c r="BF1221" s="28"/>
      <c r="BG1221" s="28"/>
      <c r="BH1221" s="28"/>
      <c r="BI1221" s="28"/>
      <c r="BJ1221" s="28"/>
      <c r="BK1221" s="28"/>
      <c r="BL1221" s="28"/>
    </row>
    <row r="1222" spans="1:64" ht="12.75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28"/>
      <c r="L1222" s="28"/>
      <c r="M1222" s="28"/>
      <c r="N1222" s="28"/>
      <c r="O1222" s="28"/>
      <c r="P1222" s="28"/>
      <c r="Q1222" s="28"/>
      <c r="R1222" s="28"/>
      <c r="S1222" s="28"/>
      <c r="T1222" s="28"/>
      <c r="U1222" s="28"/>
      <c r="V1222" s="28"/>
      <c r="W1222" s="28"/>
      <c r="X1222" s="28"/>
      <c r="Y1222" s="28"/>
      <c r="Z1222" s="28"/>
      <c r="AA1222" s="28"/>
      <c r="AB1222" s="28"/>
      <c r="AC1222" s="28"/>
      <c r="AD1222" s="28"/>
      <c r="AE1222" s="28"/>
      <c r="AF1222" s="28"/>
      <c r="AG1222" s="28"/>
      <c r="AH1222" s="28"/>
      <c r="AI1222" s="28"/>
      <c r="AJ1222" s="28"/>
      <c r="AK1222" s="28"/>
      <c r="AL1222" s="28"/>
      <c r="AM1222" s="28"/>
      <c r="AN1222" s="28"/>
      <c r="AO1222" s="28"/>
      <c r="AP1222" s="28"/>
      <c r="AQ1222" s="28"/>
      <c r="AR1222" s="28"/>
      <c r="AS1222" s="28"/>
      <c r="AT1222" s="28"/>
      <c r="AU1222" s="28"/>
      <c r="AV1222" s="28"/>
      <c r="AW1222" s="28"/>
      <c r="AX1222" s="28"/>
      <c r="AY1222" s="28"/>
      <c r="AZ1222" s="28"/>
      <c r="BA1222" s="28"/>
      <c r="BB1222" s="28"/>
      <c r="BC1222" s="28"/>
      <c r="BD1222" s="28"/>
      <c r="BE1222" s="28"/>
      <c r="BF1222" s="28"/>
      <c r="BG1222" s="28"/>
      <c r="BH1222" s="28"/>
      <c r="BI1222" s="28"/>
      <c r="BJ1222" s="28"/>
      <c r="BK1222" s="28"/>
      <c r="BL1222" s="28"/>
    </row>
    <row r="1223" spans="1:64" ht="12.75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28"/>
      <c r="L1223" s="28"/>
      <c r="M1223" s="28"/>
      <c r="N1223" s="28"/>
      <c r="O1223" s="28"/>
      <c r="P1223" s="28"/>
      <c r="Q1223" s="28"/>
      <c r="R1223" s="28"/>
      <c r="S1223" s="28"/>
      <c r="T1223" s="28"/>
      <c r="U1223" s="28"/>
      <c r="V1223" s="28"/>
      <c r="W1223" s="28"/>
      <c r="X1223" s="28"/>
      <c r="Y1223" s="28"/>
      <c r="Z1223" s="28"/>
      <c r="AA1223" s="28"/>
      <c r="AB1223" s="28"/>
      <c r="AC1223" s="28"/>
      <c r="AD1223" s="28"/>
      <c r="AE1223" s="28"/>
      <c r="AF1223" s="28"/>
      <c r="AG1223" s="28"/>
      <c r="AH1223" s="28"/>
      <c r="AI1223" s="28"/>
      <c r="AJ1223" s="28"/>
      <c r="AK1223" s="28"/>
      <c r="AL1223" s="28"/>
      <c r="AM1223" s="28"/>
      <c r="AN1223" s="28"/>
      <c r="AO1223" s="28"/>
      <c r="AP1223" s="28"/>
      <c r="AQ1223" s="28"/>
      <c r="AR1223" s="28"/>
      <c r="AS1223" s="28"/>
      <c r="AT1223" s="28"/>
      <c r="AU1223" s="28"/>
      <c r="AV1223" s="28"/>
      <c r="AW1223" s="28"/>
      <c r="AX1223" s="28"/>
      <c r="AY1223" s="28"/>
      <c r="AZ1223" s="28"/>
      <c r="BA1223" s="28"/>
      <c r="BB1223" s="28"/>
      <c r="BC1223" s="28"/>
      <c r="BD1223" s="28"/>
      <c r="BE1223" s="28"/>
      <c r="BF1223" s="28"/>
      <c r="BG1223" s="28"/>
      <c r="BH1223" s="28"/>
      <c r="BI1223" s="28"/>
      <c r="BJ1223" s="28"/>
      <c r="BK1223" s="28"/>
      <c r="BL1223" s="28"/>
    </row>
    <row r="1224" spans="1:64" ht="12.75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28"/>
      <c r="L1224" s="28"/>
      <c r="M1224" s="28"/>
      <c r="N1224" s="28"/>
      <c r="O1224" s="28"/>
      <c r="P1224" s="28"/>
      <c r="Q1224" s="28"/>
      <c r="R1224" s="28"/>
      <c r="S1224" s="28"/>
      <c r="T1224" s="28"/>
      <c r="U1224" s="28"/>
      <c r="V1224" s="28"/>
      <c r="W1224" s="28"/>
      <c r="X1224" s="28"/>
      <c r="Y1224" s="28"/>
      <c r="Z1224" s="28"/>
      <c r="AA1224" s="28"/>
      <c r="AB1224" s="28"/>
      <c r="AC1224" s="28"/>
      <c r="AD1224" s="28"/>
      <c r="AE1224" s="28"/>
      <c r="AF1224" s="28"/>
      <c r="AG1224" s="28"/>
      <c r="AH1224" s="28"/>
      <c r="AI1224" s="28"/>
      <c r="AJ1224" s="28"/>
      <c r="AK1224" s="28"/>
      <c r="AL1224" s="28"/>
      <c r="AM1224" s="28"/>
      <c r="AN1224" s="28"/>
      <c r="AO1224" s="28"/>
      <c r="AP1224" s="28"/>
      <c r="AQ1224" s="28"/>
      <c r="AR1224" s="28"/>
      <c r="AS1224" s="28"/>
      <c r="AT1224" s="28"/>
      <c r="AU1224" s="28"/>
      <c r="AV1224" s="28"/>
      <c r="AW1224" s="28"/>
      <c r="AX1224" s="28"/>
      <c r="AY1224" s="28"/>
      <c r="AZ1224" s="28"/>
      <c r="BA1224" s="28"/>
      <c r="BB1224" s="28"/>
      <c r="BC1224" s="28"/>
      <c r="BD1224" s="28"/>
      <c r="BE1224" s="28"/>
      <c r="BF1224" s="28"/>
      <c r="BG1224" s="28"/>
      <c r="BH1224" s="28"/>
      <c r="BI1224" s="28"/>
      <c r="BJ1224" s="28"/>
      <c r="BK1224" s="28"/>
      <c r="BL1224" s="28"/>
    </row>
    <row r="1225" spans="1:64" ht="12.75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28"/>
      <c r="L1225" s="28"/>
      <c r="M1225" s="28"/>
      <c r="N1225" s="28"/>
      <c r="O1225" s="28"/>
      <c r="P1225" s="28"/>
      <c r="Q1225" s="28"/>
      <c r="R1225" s="28"/>
      <c r="S1225" s="28"/>
      <c r="T1225" s="28"/>
      <c r="U1225" s="28"/>
      <c r="V1225" s="28"/>
      <c r="W1225" s="28"/>
      <c r="X1225" s="28"/>
      <c r="Y1225" s="28"/>
      <c r="Z1225" s="28"/>
      <c r="AA1225" s="28"/>
      <c r="AB1225" s="28"/>
      <c r="AC1225" s="28"/>
      <c r="AD1225" s="28"/>
      <c r="AE1225" s="28"/>
      <c r="AF1225" s="28"/>
      <c r="AG1225" s="28"/>
      <c r="AH1225" s="28"/>
      <c r="AI1225" s="28"/>
      <c r="AJ1225" s="28"/>
      <c r="AK1225" s="28"/>
      <c r="AL1225" s="28"/>
      <c r="AM1225" s="28"/>
      <c r="AN1225" s="28"/>
      <c r="AO1225" s="28"/>
      <c r="AP1225" s="28"/>
      <c r="AQ1225" s="28"/>
      <c r="AR1225" s="28"/>
      <c r="AS1225" s="28"/>
      <c r="AT1225" s="28"/>
      <c r="AU1225" s="28"/>
      <c r="AV1225" s="28"/>
      <c r="AW1225" s="28"/>
      <c r="AX1225" s="28"/>
      <c r="AY1225" s="28"/>
      <c r="AZ1225" s="28"/>
      <c r="BA1225" s="28"/>
      <c r="BB1225" s="28"/>
      <c r="BC1225" s="28"/>
      <c r="BD1225" s="28"/>
      <c r="BE1225" s="28"/>
      <c r="BF1225" s="28"/>
      <c r="BG1225" s="28"/>
      <c r="BH1225" s="28"/>
      <c r="BI1225" s="28"/>
      <c r="BJ1225" s="28"/>
      <c r="BK1225" s="28"/>
      <c r="BL1225" s="28"/>
    </row>
    <row r="1226" spans="1:64" ht="12.75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28"/>
      <c r="L1226" s="28"/>
      <c r="M1226" s="28"/>
      <c r="N1226" s="28"/>
      <c r="O1226" s="28"/>
      <c r="P1226" s="28"/>
      <c r="Q1226" s="28"/>
      <c r="R1226" s="28"/>
      <c r="S1226" s="28"/>
      <c r="T1226" s="28"/>
      <c r="U1226" s="28"/>
      <c r="V1226" s="28"/>
      <c r="W1226" s="28"/>
      <c r="X1226" s="28"/>
      <c r="Y1226" s="28"/>
      <c r="Z1226" s="28"/>
      <c r="AA1226" s="28"/>
      <c r="AB1226" s="28"/>
      <c r="AC1226" s="28"/>
      <c r="AD1226" s="28"/>
      <c r="AE1226" s="28"/>
      <c r="AF1226" s="28"/>
      <c r="AG1226" s="28"/>
      <c r="AH1226" s="28"/>
      <c r="AI1226" s="28"/>
      <c r="AJ1226" s="28"/>
      <c r="AK1226" s="28"/>
      <c r="AL1226" s="28"/>
      <c r="AM1226" s="28"/>
      <c r="AN1226" s="28"/>
      <c r="AO1226" s="28"/>
      <c r="AP1226" s="28"/>
      <c r="AQ1226" s="28"/>
      <c r="AR1226" s="28"/>
      <c r="AS1226" s="28"/>
      <c r="AT1226" s="28"/>
      <c r="AU1226" s="28"/>
      <c r="AV1226" s="28"/>
      <c r="AW1226" s="28"/>
      <c r="AX1226" s="28"/>
      <c r="AY1226" s="28"/>
      <c r="AZ1226" s="28"/>
      <c r="BA1226" s="28"/>
      <c r="BB1226" s="28"/>
      <c r="BC1226" s="28"/>
      <c r="BD1226" s="28"/>
      <c r="BE1226" s="28"/>
      <c r="BF1226" s="28"/>
      <c r="BG1226" s="28"/>
      <c r="BH1226" s="28"/>
      <c r="BI1226" s="28"/>
      <c r="BJ1226" s="28"/>
      <c r="BK1226" s="28"/>
      <c r="BL1226" s="28"/>
    </row>
    <row r="1227" spans="1:64" ht="12.75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28"/>
      <c r="L1227" s="28"/>
      <c r="M1227" s="28"/>
      <c r="N1227" s="28"/>
      <c r="O1227" s="28"/>
      <c r="P1227" s="28"/>
      <c r="Q1227" s="28"/>
      <c r="R1227" s="28"/>
      <c r="S1227" s="28"/>
      <c r="T1227" s="28"/>
      <c r="U1227" s="28"/>
      <c r="V1227" s="28"/>
      <c r="W1227" s="28"/>
      <c r="X1227" s="28"/>
      <c r="Y1227" s="28"/>
      <c r="Z1227" s="28"/>
      <c r="AA1227" s="28"/>
      <c r="AB1227" s="28"/>
      <c r="AC1227" s="28"/>
      <c r="AD1227" s="28"/>
      <c r="AE1227" s="28"/>
      <c r="AF1227" s="28"/>
      <c r="AG1227" s="28"/>
      <c r="AH1227" s="28"/>
      <c r="AI1227" s="28"/>
      <c r="AJ1227" s="28"/>
      <c r="AK1227" s="28"/>
      <c r="AL1227" s="28"/>
      <c r="AM1227" s="28"/>
      <c r="AN1227" s="28"/>
      <c r="AO1227" s="28"/>
      <c r="AP1227" s="28"/>
      <c r="AQ1227" s="28"/>
      <c r="AR1227" s="28"/>
      <c r="AS1227" s="28"/>
      <c r="AT1227" s="28"/>
      <c r="AU1227" s="28"/>
      <c r="AV1227" s="28"/>
      <c r="AW1227" s="28"/>
      <c r="AX1227" s="28"/>
      <c r="AY1227" s="28"/>
      <c r="AZ1227" s="28"/>
      <c r="BA1227" s="28"/>
      <c r="BB1227" s="28"/>
      <c r="BC1227" s="28"/>
      <c r="BD1227" s="28"/>
      <c r="BE1227" s="28"/>
      <c r="BF1227" s="28"/>
      <c r="BG1227" s="28"/>
      <c r="BH1227" s="28"/>
      <c r="BI1227" s="28"/>
      <c r="BJ1227" s="28"/>
      <c r="BK1227" s="28"/>
      <c r="BL1227" s="28"/>
    </row>
    <row r="1228" spans="1:64" ht="12.75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28"/>
      <c r="L1228" s="28"/>
      <c r="M1228" s="28"/>
      <c r="N1228" s="28"/>
      <c r="O1228" s="28"/>
      <c r="P1228" s="28"/>
      <c r="Q1228" s="28"/>
      <c r="R1228" s="28"/>
      <c r="S1228" s="28"/>
      <c r="T1228" s="28"/>
      <c r="U1228" s="28"/>
      <c r="V1228" s="28"/>
      <c r="W1228" s="28"/>
      <c r="X1228" s="28"/>
      <c r="Y1228" s="28"/>
      <c r="Z1228" s="28"/>
      <c r="AA1228" s="28"/>
      <c r="AB1228" s="28"/>
      <c r="AC1228" s="28"/>
      <c r="AD1228" s="28"/>
      <c r="AE1228" s="28"/>
      <c r="AF1228" s="28"/>
      <c r="AG1228" s="28"/>
      <c r="AH1228" s="28"/>
      <c r="AI1228" s="28"/>
      <c r="AJ1228" s="28"/>
      <c r="AK1228" s="28"/>
      <c r="AL1228" s="28"/>
      <c r="AM1228" s="28"/>
      <c r="AN1228" s="28"/>
      <c r="AO1228" s="28"/>
      <c r="AP1228" s="28"/>
      <c r="AQ1228" s="28"/>
      <c r="AR1228" s="28"/>
      <c r="AS1228" s="28"/>
      <c r="AT1228" s="28"/>
      <c r="AU1228" s="28"/>
      <c r="AV1228" s="28"/>
      <c r="AW1228" s="28"/>
      <c r="AX1228" s="28"/>
      <c r="AY1228" s="28"/>
      <c r="AZ1228" s="28"/>
      <c r="BA1228" s="28"/>
      <c r="BB1228" s="28"/>
      <c r="BC1228" s="28"/>
      <c r="BD1228" s="28"/>
      <c r="BE1228" s="28"/>
      <c r="BF1228" s="28"/>
      <c r="BG1228" s="28"/>
      <c r="BH1228" s="28"/>
      <c r="BI1228" s="28"/>
      <c r="BJ1228" s="28"/>
      <c r="BK1228" s="28"/>
      <c r="BL1228" s="28"/>
    </row>
    <row r="1229" spans="1:64" ht="12.75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28"/>
      <c r="L1229" s="28"/>
      <c r="M1229" s="28"/>
      <c r="N1229" s="28"/>
      <c r="O1229" s="28"/>
      <c r="P1229" s="28"/>
      <c r="Q1229" s="28"/>
      <c r="R1229" s="28"/>
      <c r="S1229" s="28"/>
      <c r="T1229" s="28"/>
      <c r="U1229" s="28"/>
      <c r="V1229" s="28"/>
      <c r="W1229" s="28"/>
      <c r="X1229" s="28"/>
      <c r="Y1229" s="28"/>
      <c r="Z1229" s="28"/>
      <c r="AA1229" s="28"/>
      <c r="AB1229" s="28"/>
      <c r="AC1229" s="28"/>
      <c r="AD1229" s="28"/>
      <c r="AE1229" s="28"/>
      <c r="AF1229" s="28"/>
      <c r="AG1229" s="28"/>
      <c r="AH1229" s="28"/>
      <c r="AI1229" s="28"/>
      <c r="AJ1229" s="28"/>
      <c r="AK1229" s="28"/>
      <c r="AL1229" s="28"/>
      <c r="AM1229" s="28"/>
      <c r="AN1229" s="28"/>
      <c r="AO1229" s="28"/>
      <c r="AP1229" s="28"/>
      <c r="AQ1229" s="28"/>
      <c r="AR1229" s="28"/>
      <c r="AS1229" s="28"/>
      <c r="AT1229" s="28"/>
      <c r="AU1229" s="28"/>
      <c r="AV1229" s="28"/>
      <c r="AW1229" s="28"/>
      <c r="AX1229" s="28"/>
      <c r="AY1229" s="28"/>
      <c r="AZ1229" s="28"/>
      <c r="BA1229" s="28"/>
      <c r="BB1229" s="28"/>
      <c r="BC1229" s="28"/>
      <c r="BD1229" s="28"/>
      <c r="BE1229" s="28"/>
      <c r="BF1229" s="28"/>
      <c r="BG1229" s="28"/>
      <c r="BH1229" s="28"/>
      <c r="BI1229" s="28"/>
      <c r="BJ1229" s="28"/>
      <c r="BK1229" s="28"/>
      <c r="BL1229" s="28"/>
    </row>
    <row r="1230" spans="1:64" ht="12.75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28"/>
      <c r="L1230" s="28"/>
      <c r="M1230" s="28"/>
      <c r="N1230" s="28"/>
      <c r="O1230" s="28"/>
      <c r="P1230" s="28"/>
      <c r="Q1230" s="28"/>
      <c r="R1230" s="28"/>
      <c r="S1230" s="28"/>
      <c r="T1230" s="28"/>
      <c r="U1230" s="28"/>
      <c r="V1230" s="28"/>
      <c r="W1230" s="28"/>
      <c r="X1230" s="28"/>
      <c r="Y1230" s="28"/>
      <c r="Z1230" s="28"/>
      <c r="AA1230" s="28"/>
      <c r="AB1230" s="28"/>
      <c r="AC1230" s="28"/>
      <c r="AD1230" s="28"/>
      <c r="AE1230" s="28"/>
      <c r="AF1230" s="28"/>
      <c r="AG1230" s="28"/>
      <c r="AH1230" s="28"/>
      <c r="AI1230" s="28"/>
      <c r="AJ1230" s="28"/>
      <c r="AK1230" s="28"/>
      <c r="AL1230" s="28"/>
      <c r="AM1230" s="28"/>
      <c r="AN1230" s="28"/>
      <c r="AO1230" s="28"/>
      <c r="AP1230" s="28"/>
      <c r="AQ1230" s="28"/>
      <c r="AR1230" s="28"/>
      <c r="AS1230" s="28"/>
      <c r="AT1230" s="28"/>
      <c r="AU1230" s="28"/>
      <c r="AV1230" s="28"/>
      <c r="AW1230" s="28"/>
      <c r="AX1230" s="28"/>
      <c r="AY1230" s="28"/>
      <c r="AZ1230" s="28"/>
      <c r="BA1230" s="28"/>
      <c r="BB1230" s="28"/>
      <c r="BC1230" s="28"/>
      <c r="BD1230" s="28"/>
      <c r="BE1230" s="28"/>
      <c r="BF1230" s="28"/>
      <c r="BG1230" s="28"/>
      <c r="BH1230" s="28"/>
      <c r="BI1230" s="28"/>
      <c r="BJ1230" s="28"/>
      <c r="BK1230" s="28"/>
      <c r="BL1230" s="28"/>
    </row>
    <row r="1231" spans="1:64" ht="12.75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28"/>
      <c r="L1231" s="28"/>
      <c r="M1231" s="28"/>
      <c r="N1231" s="28"/>
      <c r="O1231" s="28"/>
      <c r="P1231" s="28"/>
      <c r="Q1231" s="28"/>
      <c r="R1231" s="28"/>
      <c r="S1231" s="28"/>
      <c r="T1231" s="28"/>
      <c r="U1231" s="28"/>
      <c r="V1231" s="28"/>
      <c r="W1231" s="28"/>
      <c r="X1231" s="28"/>
      <c r="Y1231" s="28"/>
      <c r="Z1231" s="28"/>
      <c r="AA1231" s="28"/>
      <c r="AB1231" s="28"/>
      <c r="AC1231" s="28"/>
      <c r="AD1231" s="28"/>
      <c r="AE1231" s="28"/>
      <c r="AF1231" s="28"/>
      <c r="AG1231" s="28"/>
      <c r="AH1231" s="28"/>
      <c r="AI1231" s="28"/>
      <c r="AJ1231" s="28"/>
      <c r="AK1231" s="28"/>
      <c r="AL1231" s="28"/>
      <c r="AM1231" s="28"/>
      <c r="AN1231" s="28"/>
      <c r="AO1231" s="28"/>
      <c r="AP1231" s="28"/>
      <c r="AQ1231" s="28"/>
      <c r="AR1231" s="28"/>
      <c r="AS1231" s="28"/>
      <c r="AT1231" s="28"/>
      <c r="AU1231" s="28"/>
      <c r="AV1231" s="28"/>
      <c r="AW1231" s="28"/>
      <c r="AX1231" s="28"/>
      <c r="AY1231" s="28"/>
      <c r="AZ1231" s="28"/>
      <c r="BA1231" s="28"/>
      <c r="BB1231" s="28"/>
      <c r="BC1231" s="28"/>
      <c r="BD1231" s="28"/>
      <c r="BE1231" s="28"/>
      <c r="BF1231" s="28"/>
      <c r="BG1231" s="28"/>
      <c r="BH1231" s="28"/>
      <c r="BI1231" s="28"/>
      <c r="BJ1231" s="28"/>
      <c r="BK1231" s="28"/>
      <c r="BL1231" s="28"/>
    </row>
    <row r="1232" spans="1:64" ht="12.75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28"/>
      <c r="L1232" s="28"/>
      <c r="M1232" s="28"/>
      <c r="N1232" s="28"/>
      <c r="O1232" s="28"/>
      <c r="P1232" s="28"/>
      <c r="Q1232" s="28"/>
      <c r="R1232" s="28"/>
      <c r="S1232" s="28"/>
      <c r="T1232" s="28"/>
      <c r="U1232" s="28"/>
      <c r="V1232" s="28"/>
      <c r="W1232" s="28"/>
      <c r="X1232" s="28"/>
      <c r="Y1232" s="28"/>
      <c r="Z1232" s="28"/>
      <c r="AA1232" s="28"/>
      <c r="AB1232" s="28"/>
      <c r="AC1232" s="28"/>
      <c r="AD1232" s="28"/>
      <c r="AE1232" s="28"/>
      <c r="AF1232" s="28"/>
      <c r="AG1232" s="28"/>
      <c r="AH1232" s="28"/>
      <c r="AI1232" s="28"/>
      <c r="AJ1232" s="28"/>
      <c r="AK1232" s="28"/>
      <c r="AL1232" s="28"/>
      <c r="AM1232" s="28"/>
      <c r="AN1232" s="28"/>
      <c r="AO1232" s="28"/>
      <c r="AP1232" s="28"/>
      <c r="AQ1232" s="28"/>
      <c r="AR1232" s="28"/>
      <c r="AS1232" s="28"/>
      <c r="AT1232" s="28"/>
      <c r="AU1232" s="28"/>
      <c r="AV1232" s="28"/>
      <c r="AW1232" s="28"/>
      <c r="AX1232" s="28"/>
      <c r="AY1232" s="28"/>
      <c r="AZ1232" s="28"/>
      <c r="BA1232" s="28"/>
      <c r="BB1232" s="28"/>
      <c r="BC1232" s="28"/>
      <c r="BD1232" s="28"/>
      <c r="BE1232" s="28"/>
      <c r="BF1232" s="28"/>
      <c r="BG1232" s="28"/>
      <c r="BH1232" s="28"/>
      <c r="BI1232" s="28"/>
      <c r="BJ1232" s="28"/>
      <c r="BK1232" s="28"/>
      <c r="BL1232" s="28"/>
    </row>
    <row r="1233" spans="1:64" ht="12.75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28"/>
      <c r="L1233" s="28"/>
      <c r="M1233" s="28"/>
      <c r="N1233" s="28"/>
      <c r="O1233" s="28"/>
      <c r="P1233" s="28"/>
      <c r="Q1233" s="28"/>
      <c r="R1233" s="28"/>
      <c r="S1233" s="28"/>
      <c r="T1233" s="28"/>
      <c r="U1233" s="28"/>
      <c r="V1233" s="28"/>
      <c r="W1233" s="28"/>
      <c r="X1233" s="28"/>
      <c r="Y1233" s="28"/>
      <c r="Z1233" s="28"/>
      <c r="AA1233" s="28"/>
      <c r="AB1233" s="28"/>
      <c r="AC1233" s="28"/>
      <c r="AD1233" s="28"/>
      <c r="AE1233" s="28"/>
      <c r="AF1233" s="28"/>
      <c r="AG1233" s="28"/>
      <c r="AH1233" s="28"/>
      <c r="AI1233" s="28"/>
      <c r="AJ1233" s="28"/>
      <c r="AK1233" s="28"/>
      <c r="AL1233" s="28"/>
      <c r="AM1233" s="28"/>
      <c r="AN1233" s="28"/>
      <c r="AO1233" s="28"/>
      <c r="AP1233" s="28"/>
      <c r="AQ1233" s="28"/>
      <c r="AR1233" s="28"/>
      <c r="AS1233" s="28"/>
      <c r="AT1233" s="28"/>
      <c r="AU1233" s="28"/>
      <c r="AV1233" s="28"/>
      <c r="AW1233" s="28"/>
      <c r="AX1233" s="28"/>
      <c r="AY1233" s="28"/>
      <c r="AZ1233" s="28"/>
      <c r="BA1233" s="28"/>
      <c r="BB1233" s="28"/>
      <c r="BC1233" s="28"/>
      <c r="BD1233" s="28"/>
      <c r="BE1233" s="28"/>
      <c r="BF1233" s="28"/>
      <c r="BG1233" s="28"/>
      <c r="BH1233" s="28"/>
      <c r="BI1233" s="28"/>
      <c r="BJ1233" s="28"/>
      <c r="BK1233" s="28"/>
      <c r="BL1233" s="28"/>
    </row>
    <row r="1234" spans="1:64" ht="12.75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28"/>
      <c r="Q1234" s="28"/>
      <c r="R1234" s="28"/>
      <c r="S1234" s="28"/>
      <c r="T1234" s="28"/>
      <c r="U1234" s="28"/>
      <c r="V1234" s="28"/>
      <c r="W1234" s="28"/>
      <c r="X1234" s="28"/>
      <c r="Y1234" s="28"/>
      <c r="Z1234" s="28"/>
      <c r="AA1234" s="28"/>
      <c r="AB1234" s="28"/>
      <c r="AC1234" s="28"/>
      <c r="AD1234" s="28"/>
      <c r="AE1234" s="28"/>
      <c r="AF1234" s="28"/>
      <c r="AG1234" s="28"/>
      <c r="AH1234" s="28"/>
      <c r="AI1234" s="28"/>
      <c r="AJ1234" s="28"/>
      <c r="AK1234" s="28"/>
      <c r="AL1234" s="28"/>
      <c r="AM1234" s="28"/>
      <c r="AN1234" s="28"/>
      <c r="AO1234" s="28"/>
      <c r="AP1234" s="28"/>
      <c r="AQ1234" s="28"/>
      <c r="AR1234" s="28"/>
      <c r="AS1234" s="28"/>
      <c r="AT1234" s="28"/>
      <c r="AU1234" s="28"/>
      <c r="AV1234" s="28"/>
      <c r="AW1234" s="28"/>
      <c r="AX1234" s="28"/>
      <c r="AY1234" s="28"/>
      <c r="AZ1234" s="28"/>
      <c r="BA1234" s="28"/>
      <c r="BB1234" s="28"/>
      <c r="BC1234" s="28"/>
      <c r="BD1234" s="28"/>
      <c r="BE1234" s="28"/>
      <c r="BF1234" s="28"/>
      <c r="BG1234" s="28"/>
      <c r="BH1234" s="28"/>
      <c r="BI1234" s="28"/>
      <c r="BJ1234" s="28"/>
      <c r="BK1234" s="28"/>
      <c r="BL1234" s="28"/>
    </row>
    <row r="1235" spans="1:64" ht="12.75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28"/>
      <c r="L1235" s="28"/>
      <c r="M1235" s="28"/>
      <c r="N1235" s="28"/>
      <c r="O1235" s="28"/>
      <c r="P1235" s="28"/>
      <c r="Q1235" s="28"/>
      <c r="R1235" s="28"/>
      <c r="S1235" s="28"/>
      <c r="T1235" s="28"/>
      <c r="U1235" s="28"/>
      <c r="V1235" s="28"/>
      <c r="W1235" s="28"/>
      <c r="X1235" s="28"/>
      <c r="Y1235" s="28"/>
      <c r="Z1235" s="28"/>
      <c r="AA1235" s="28"/>
      <c r="AB1235" s="28"/>
      <c r="AC1235" s="28"/>
      <c r="AD1235" s="28"/>
      <c r="AE1235" s="28"/>
      <c r="AF1235" s="28"/>
      <c r="AG1235" s="28"/>
      <c r="AH1235" s="28"/>
      <c r="AI1235" s="28"/>
      <c r="AJ1235" s="28"/>
      <c r="AK1235" s="28"/>
      <c r="AL1235" s="28"/>
      <c r="AM1235" s="28"/>
      <c r="AN1235" s="28"/>
      <c r="AO1235" s="28"/>
      <c r="AP1235" s="28"/>
      <c r="AQ1235" s="28"/>
      <c r="AR1235" s="28"/>
      <c r="AS1235" s="28"/>
      <c r="AT1235" s="28"/>
      <c r="AU1235" s="28"/>
      <c r="AV1235" s="28"/>
      <c r="AW1235" s="28"/>
      <c r="AX1235" s="28"/>
      <c r="AY1235" s="28"/>
      <c r="AZ1235" s="28"/>
      <c r="BA1235" s="28"/>
      <c r="BB1235" s="28"/>
      <c r="BC1235" s="28"/>
      <c r="BD1235" s="28"/>
      <c r="BE1235" s="28"/>
      <c r="BF1235" s="28"/>
      <c r="BG1235" s="28"/>
      <c r="BH1235" s="28"/>
      <c r="BI1235" s="28"/>
      <c r="BJ1235" s="28"/>
      <c r="BK1235" s="28"/>
      <c r="BL1235" s="28"/>
    </row>
    <row r="1236" spans="1:64" ht="12.75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28"/>
      <c r="Q1236" s="28"/>
      <c r="R1236" s="28"/>
      <c r="S1236" s="28"/>
      <c r="T1236" s="28"/>
      <c r="U1236" s="28"/>
      <c r="V1236" s="28"/>
      <c r="W1236" s="28"/>
      <c r="X1236" s="28"/>
      <c r="Y1236" s="28"/>
      <c r="Z1236" s="28"/>
      <c r="AA1236" s="28"/>
      <c r="AB1236" s="28"/>
      <c r="AC1236" s="28"/>
      <c r="AD1236" s="28"/>
      <c r="AE1236" s="28"/>
      <c r="AF1236" s="28"/>
      <c r="AG1236" s="28"/>
      <c r="AH1236" s="28"/>
      <c r="AI1236" s="28"/>
      <c r="AJ1236" s="28"/>
      <c r="AK1236" s="28"/>
      <c r="AL1236" s="28"/>
      <c r="AM1236" s="28"/>
      <c r="AN1236" s="28"/>
      <c r="AO1236" s="28"/>
      <c r="AP1236" s="28"/>
      <c r="AQ1236" s="28"/>
      <c r="AR1236" s="28"/>
      <c r="AS1236" s="28"/>
      <c r="AT1236" s="28"/>
      <c r="AU1236" s="28"/>
      <c r="AV1236" s="28"/>
      <c r="AW1236" s="28"/>
      <c r="AX1236" s="28"/>
      <c r="AY1236" s="28"/>
      <c r="AZ1236" s="28"/>
      <c r="BA1236" s="28"/>
      <c r="BB1236" s="28"/>
      <c r="BC1236" s="28"/>
      <c r="BD1236" s="28"/>
      <c r="BE1236" s="28"/>
      <c r="BF1236" s="28"/>
      <c r="BG1236" s="28"/>
      <c r="BH1236" s="28"/>
      <c r="BI1236" s="28"/>
      <c r="BJ1236" s="28"/>
      <c r="BK1236" s="28"/>
      <c r="BL1236" s="28"/>
    </row>
    <row r="1237" spans="1:64" ht="12.75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28"/>
      <c r="L1237" s="28"/>
      <c r="M1237" s="28"/>
      <c r="N1237" s="28"/>
      <c r="O1237" s="28"/>
      <c r="P1237" s="28"/>
      <c r="Q1237" s="28"/>
      <c r="R1237" s="28"/>
      <c r="S1237" s="28"/>
      <c r="T1237" s="28"/>
      <c r="U1237" s="28"/>
      <c r="V1237" s="28"/>
      <c r="W1237" s="28"/>
      <c r="X1237" s="28"/>
      <c r="Y1237" s="28"/>
      <c r="Z1237" s="28"/>
      <c r="AA1237" s="28"/>
      <c r="AB1237" s="28"/>
      <c r="AC1237" s="28"/>
      <c r="AD1237" s="28"/>
      <c r="AE1237" s="28"/>
      <c r="AF1237" s="28"/>
      <c r="AG1237" s="28"/>
      <c r="AH1237" s="28"/>
      <c r="AI1237" s="28"/>
      <c r="AJ1237" s="28"/>
      <c r="AK1237" s="28"/>
      <c r="AL1237" s="28"/>
      <c r="AM1237" s="28"/>
      <c r="AN1237" s="28"/>
      <c r="AO1237" s="28"/>
      <c r="AP1237" s="28"/>
      <c r="AQ1237" s="28"/>
      <c r="AR1237" s="28"/>
      <c r="AS1237" s="28"/>
      <c r="AT1237" s="28"/>
      <c r="AU1237" s="28"/>
      <c r="AV1237" s="28"/>
      <c r="AW1237" s="28"/>
      <c r="AX1237" s="28"/>
      <c r="AY1237" s="28"/>
      <c r="AZ1237" s="28"/>
      <c r="BA1237" s="28"/>
      <c r="BB1237" s="28"/>
      <c r="BC1237" s="28"/>
      <c r="BD1237" s="28"/>
      <c r="BE1237" s="28"/>
      <c r="BF1237" s="28"/>
      <c r="BG1237" s="28"/>
      <c r="BH1237" s="28"/>
      <c r="BI1237" s="28"/>
      <c r="BJ1237" s="28"/>
      <c r="BK1237" s="28"/>
      <c r="BL1237" s="28"/>
    </row>
    <row r="1238" spans="1:64" ht="12.75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28"/>
      <c r="L1238" s="28"/>
      <c r="M1238" s="28"/>
      <c r="N1238" s="28"/>
      <c r="O1238" s="28"/>
      <c r="P1238" s="28"/>
      <c r="Q1238" s="28"/>
      <c r="R1238" s="28"/>
      <c r="S1238" s="28"/>
      <c r="T1238" s="28"/>
      <c r="U1238" s="28"/>
      <c r="V1238" s="28"/>
      <c r="W1238" s="28"/>
      <c r="X1238" s="28"/>
      <c r="Y1238" s="28"/>
      <c r="Z1238" s="28"/>
      <c r="AA1238" s="28"/>
      <c r="AB1238" s="28"/>
      <c r="AC1238" s="28"/>
      <c r="AD1238" s="28"/>
      <c r="AE1238" s="28"/>
      <c r="AF1238" s="28"/>
      <c r="AG1238" s="28"/>
      <c r="AH1238" s="28"/>
      <c r="AI1238" s="28"/>
      <c r="AJ1238" s="28"/>
      <c r="AK1238" s="28"/>
      <c r="AL1238" s="28"/>
      <c r="AM1238" s="28"/>
      <c r="AN1238" s="28"/>
      <c r="AO1238" s="28"/>
      <c r="AP1238" s="28"/>
      <c r="AQ1238" s="28"/>
      <c r="AR1238" s="28"/>
      <c r="AS1238" s="28"/>
      <c r="AT1238" s="28"/>
      <c r="AU1238" s="28"/>
      <c r="AV1238" s="28"/>
      <c r="AW1238" s="28"/>
      <c r="AX1238" s="28"/>
      <c r="AY1238" s="28"/>
      <c r="AZ1238" s="28"/>
      <c r="BA1238" s="28"/>
      <c r="BB1238" s="28"/>
      <c r="BC1238" s="28"/>
      <c r="BD1238" s="28"/>
      <c r="BE1238" s="28"/>
      <c r="BF1238" s="28"/>
      <c r="BG1238" s="28"/>
      <c r="BH1238" s="28"/>
      <c r="BI1238" s="28"/>
      <c r="BJ1238" s="28"/>
      <c r="BK1238" s="28"/>
      <c r="BL1238" s="28"/>
    </row>
    <row r="1239" spans="1:64" ht="12.75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28"/>
      <c r="L1239" s="28"/>
      <c r="M1239" s="28"/>
      <c r="N1239" s="28"/>
      <c r="O1239" s="28"/>
      <c r="P1239" s="28"/>
      <c r="Q1239" s="28"/>
      <c r="R1239" s="28"/>
      <c r="S1239" s="28"/>
      <c r="T1239" s="28"/>
      <c r="U1239" s="28"/>
      <c r="V1239" s="28"/>
      <c r="W1239" s="28"/>
      <c r="X1239" s="28"/>
      <c r="Y1239" s="28"/>
      <c r="Z1239" s="28"/>
      <c r="AA1239" s="28"/>
      <c r="AB1239" s="28"/>
      <c r="AC1239" s="28"/>
      <c r="AD1239" s="28"/>
      <c r="AE1239" s="28"/>
      <c r="AF1239" s="28"/>
      <c r="AG1239" s="28"/>
      <c r="AH1239" s="28"/>
      <c r="AI1239" s="28"/>
      <c r="AJ1239" s="28"/>
      <c r="AK1239" s="28"/>
      <c r="AL1239" s="28"/>
      <c r="AM1239" s="28"/>
      <c r="AN1239" s="28"/>
      <c r="AO1239" s="28"/>
      <c r="AP1239" s="28"/>
      <c r="AQ1239" s="28"/>
      <c r="AR1239" s="28"/>
      <c r="AS1239" s="28"/>
      <c r="AT1239" s="28"/>
      <c r="AU1239" s="28"/>
      <c r="AV1239" s="28"/>
      <c r="AW1239" s="28"/>
      <c r="AX1239" s="28"/>
      <c r="AY1239" s="28"/>
      <c r="AZ1239" s="28"/>
      <c r="BA1239" s="28"/>
      <c r="BB1239" s="28"/>
      <c r="BC1239" s="28"/>
      <c r="BD1239" s="28"/>
      <c r="BE1239" s="28"/>
      <c r="BF1239" s="28"/>
      <c r="BG1239" s="28"/>
      <c r="BH1239" s="28"/>
      <c r="BI1239" s="28"/>
      <c r="BJ1239" s="28"/>
      <c r="BK1239" s="28"/>
      <c r="BL1239" s="28"/>
    </row>
    <row r="1240" spans="1:64" ht="12.75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28"/>
      <c r="Q1240" s="28"/>
      <c r="R1240" s="28"/>
      <c r="S1240" s="28"/>
      <c r="T1240" s="28"/>
      <c r="U1240" s="28"/>
      <c r="V1240" s="28"/>
      <c r="W1240" s="28"/>
      <c r="X1240" s="28"/>
      <c r="Y1240" s="28"/>
      <c r="Z1240" s="28"/>
      <c r="AA1240" s="28"/>
      <c r="AB1240" s="28"/>
      <c r="AC1240" s="28"/>
      <c r="AD1240" s="28"/>
      <c r="AE1240" s="28"/>
      <c r="AF1240" s="28"/>
      <c r="AG1240" s="28"/>
      <c r="AH1240" s="28"/>
      <c r="AI1240" s="28"/>
      <c r="AJ1240" s="28"/>
      <c r="AK1240" s="28"/>
      <c r="AL1240" s="28"/>
      <c r="AM1240" s="28"/>
      <c r="AN1240" s="28"/>
      <c r="AO1240" s="28"/>
      <c r="AP1240" s="28"/>
      <c r="AQ1240" s="28"/>
      <c r="AR1240" s="28"/>
      <c r="AS1240" s="28"/>
      <c r="AT1240" s="28"/>
      <c r="AU1240" s="28"/>
      <c r="AV1240" s="28"/>
      <c r="AW1240" s="28"/>
      <c r="AX1240" s="28"/>
      <c r="AY1240" s="28"/>
      <c r="AZ1240" s="28"/>
      <c r="BA1240" s="28"/>
      <c r="BB1240" s="28"/>
      <c r="BC1240" s="28"/>
      <c r="BD1240" s="28"/>
      <c r="BE1240" s="28"/>
      <c r="BF1240" s="28"/>
      <c r="BG1240" s="28"/>
      <c r="BH1240" s="28"/>
      <c r="BI1240" s="28"/>
      <c r="BJ1240" s="28"/>
      <c r="BK1240" s="28"/>
      <c r="BL1240" s="28"/>
    </row>
    <row r="1241" spans="1:64" ht="12.75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28"/>
      <c r="L1241" s="28"/>
      <c r="M1241" s="28"/>
      <c r="N1241" s="28"/>
      <c r="O1241" s="28"/>
      <c r="P1241" s="28"/>
      <c r="Q1241" s="28"/>
      <c r="R1241" s="28"/>
      <c r="S1241" s="28"/>
      <c r="T1241" s="28"/>
      <c r="U1241" s="28"/>
      <c r="V1241" s="28"/>
      <c r="W1241" s="28"/>
      <c r="X1241" s="28"/>
      <c r="Y1241" s="28"/>
      <c r="Z1241" s="28"/>
      <c r="AA1241" s="28"/>
      <c r="AB1241" s="28"/>
      <c r="AC1241" s="28"/>
      <c r="AD1241" s="28"/>
      <c r="AE1241" s="28"/>
      <c r="AF1241" s="28"/>
      <c r="AG1241" s="28"/>
      <c r="AH1241" s="28"/>
      <c r="AI1241" s="28"/>
      <c r="AJ1241" s="28"/>
      <c r="AK1241" s="28"/>
      <c r="AL1241" s="28"/>
      <c r="AM1241" s="28"/>
      <c r="AN1241" s="28"/>
      <c r="AO1241" s="28"/>
      <c r="AP1241" s="28"/>
      <c r="AQ1241" s="28"/>
      <c r="AR1241" s="28"/>
      <c r="AS1241" s="28"/>
      <c r="AT1241" s="28"/>
      <c r="AU1241" s="28"/>
      <c r="AV1241" s="28"/>
      <c r="AW1241" s="28"/>
      <c r="AX1241" s="28"/>
      <c r="AY1241" s="28"/>
      <c r="AZ1241" s="28"/>
      <c r="BA1241" s="28"/>
      <c r="BB1241" s="28"/>
      <c r="BC1241" s="28"/>
      <c r="BD1241" s="28"/>
      <c r="BE1241" s="28"/>
      <c r="BF1241" s="28"/>
      <c r="BG1241" s="28"/>
      <c r="BH1241" s="28"/>
      <c r="BI1241" s="28"/>
      <c r="BJ1241" s="28"/>
      <c r="BK1241" s="28"/>
      <c r="BL1241" s="28"/>
    </row>
    <row r="1242" spans="1:64" ht="12.75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28"/>
      <c r="L1242" s="28"/>
      <c r="M1242" s="28"/>
      <c r="N1242" s="28"/>
      <c r="O1242" s="28"/>
      <c r="P1242" s="28"/>
      <c r="Q1242" s="28"/>
      <c r="R1242" s="28"/>
      <c r="S1242" s="28"/>
      <c r="T1242" s="28"/>
      <c r="U1242" s="28"/>
      <c r="V1242" s="28"/>
      <c r="W1242" s="28"/>
      <c r="X1242" s="28"/>
      <c r="Y1242" s="28"/>
      <c r="Z1242" s="28"/>
      <c r="AA1242" s="28"/>
      <c r="AB1242" s="28"/>
      <c r="AC1242" s="28"/>
      <c r="AD1242" s="28"/>
      <c r="AE1242" s="28"/>
      <c r="AF1242" s="28"/>
      <c r="AG1242" s="28"/>
      <c r="AH1242" s="28"/>
      <c r="AI1242" s="28"/>
      <c r="AJ1242" s="28"/>
      <c r="AK1242" s="28"/>
      <c r="AL1242" s="28"/>
      <c r="AM1242" s="28"/>
      <c r="AN1242" s="28"/>
      <c r="AO1242" s="28"/>
      <c r="AP1242" s="28"/>
      <c r="AQ1242" s="28"/>
      <c r="AR1242" s="28"/>
      <c r="AS1242" s="28"/>
      <c r="AT1242" s="28"/>
      <c r="AU1242" s="28"/>
      <c r="AV1242" s="28"/>
      <c r="AW1242" s="28"/>
      <c r="AX1242" s="28"/>
      <c r="AY1242" s="28"/>
      <c r="AZ1242" s="28"/>
      <c r="BA1242" s="28"/>
      <c r="BB1242" s="28"/>
      <c r="BC1242" s="28"/>
      <c r="BD1242" s="28"/>
      <c r="BE1242" s="28"/>
      <c r="BF1242" s="28"/>
      <c r="BG1242" s="28"/>
      <c r="BH1242" s="28"/>
      <c r="BI1242" s="28"/>
      <c r="BJ1242" s="28"/>
      <c r="BK1242" s="28"/>
      <c r="BL1242" s="28"/>
    </row>
    <row r="1243" spans="1:64" ht="12.75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28"/>
      <c r="L1243" s="28"/>
      <c r="M1243" s="28"/>
      <c r="N1243" s="28"/>
      <c r="O1243" s="28"/>
      <c r="P1243" s="28"/>
      <c r="Q1243" s="28"/>
      <c r="R1243" s="28"/>
      <c r="S1243" s="28"/>
      <c r="T1243" s="28"/>
      <c r="U1243" s="28"/>
      <c r="V1243" s="28"/>
      <c r="W1243" s="28"/>
      <c r="X1243" s="28"/>
      <c r="Y1243" s="28"/>
      <c r="Z1243" s="28"/>
      <c r="AA1243" s="28"/>
      <c r="AB1243" s="28"/>
      <c r="AC1243" s="28"/>
      <c r="AD1243" s="28"/>
      <c r="AE1243" s="28"/>
      <c r="AF1243" s="28"/>
      <c r="AG1243" s="28"/>
      <c r="AH1243" s="28"/>
      <c r="AI1243" s="28"/>
      <c r="AJ1243" s="28"/>
      <c r="AK1243" s="28"/>
      <c r="AL1243" s="28"/>
      <c r="AM1243" s="28"/>
      <c r="AN1243" s="28"/>
      <c r="AO1243" s="28"/>
      <c r="AP1243" s="28"/>
      <c r="AQ1243" s="28"/>
      <c r="AR1243" s="28"/>
      <c r="AS1243" s="28"/>
      <c r="AT1243" s="28"/>
      <c r="AU1243" s="28"/>
      <c r="AV1243" s="28"/>
      <c r="AW1243" s="28"/>
      <c r="AX1243" s="28"/>
      <c r="AY1243" s="28"/>
      <c r="AZ1243" s="28"/>
      <c r="BA1243" s="28"/>
      <c r="BB1243" s="28"/>
      <c r="BC1243" s="28"/>
      <c r="BD1243" s="28"/>
      <c r="BE1243" s="28"/>
      <c r="BF1243" s="28"/>
      <c r="BG1243" s="28"/>
      <c r="BH1243" s="28"/>
      <c r="BI1243" s="28"/>
      <c r="BJ1243" s="28"/>
      <c r="BK1243" s="28"/>
      <c r="BL1243" s="28"/>
    </row>
    <row r="1244" spans="1:64" ht="12.75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28"/>
      <c r="L1244" s="28"/>
      <c r="M1244" s="28"/>
      <c r="N1244" s="28"/>
      <c r="O1244" s="28"/>
      <c r="P1244" s="28"/>
      <c r="Q1244" s="28"/>
      <c r="R1244" s="28"/>
      <c r="S1244" s="28"/>
      <c r="T1244" s="28"/>
      <c r="U1244" s="28"/>
      <c r="V1244" s="28"/>
      <c r="W1244" s="28"/>
      <c r="X1244" s="28"/>
      <c r="Y1244" s="28"/>
      <c r="Z1244" s="28"/>
      <c r="AA1244" s="28"/>
      <c r="AB1244" s="28"/>
      <c r="AC1244" s="28"/>
      <c r="AD1244" s="28"/>
      <c r="AE1244" s="28"/>
      <c r="AF1244" s="28"/>
      <c r="AG1244" s="28"/>
      <c r="AH1244" s="28"/>
      <c r="AI1244" s="28"/>
      <c r="AJ1244" s="28"/>
      <c r="AK1244" s="28"/>
      <c r="AL1244" s="28"/>
      <c r="AM1244" s="28"/>
      <c r="AN1244" s="28"/>
      <c r="AO1244" s="28"/>
      <c r="AP1244" s="28"/>
      <c r="AQ1244" s="28"/>
      <c r="AR1244" s="28"/>
      <c r="AS1244" s="28"/>
      <c r="AT1244" s="28"/>
      <c r="AU1244" s="28"/>
      <c r="AV1244" s="28"/>
      <c r="AW1244" s="28"/>
      <c r="AX1244" s="28"/>
      <c r="AY1244" s="28"/>
      <c r="AZ1244" s="28"/>
      <c r="BA1244" s="28"/>
      <c r="BB1244" s="28"/>
      <c r="BC1244" s="28"/>
      <c r="BD1244" s="28"/>
      <c r="BE1244" s="28"/>
      <c r="BF1244" s="28"/>
      <c r="BG1244" s="28"/>
      <c r="BH1244" s="28"/>
      <c r="BI1244" s="28"/>
      <c r="BJ1244" s="28"/>
      <c r="BK1244" s="28"/>
      <c r="BL1244" s="28"/>
    </row>
    <row r="1245" spans="1:64" ht="12.75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28"/>
      <c r="L1245" s="28"/>
      <c r="M1245" s="28"/>
      <c r="N1245" s="28"/>
      <c r="O1245" s="28"/>
      <c r="P1245" s="28"/>
      <c r="Q1245" s="28"/>
      <c r="R1245" s="28"/>
      <c r="S1245" s="28"/>
      <c r="T1245" s="28"/>
      <c r="U1245" s="28"/>
      <c r="V1245" s="28"/>
      <c r="W1245" s="28"/>
      <c r="X1245" s="28"/>
      <c r="Y1245" s="28"/>
      <c r="Z1245" s="28"/>
      <c r="AA1245" s="28"/>
      <c r="AB1245" s="28"/>
      <c r="AC1245" s="28"/>
      <c r="AD1245" s="28"/>
      <c r="AE1245" s="28"/>
      <c r="AF1245" s="28"/>
      <c r="AG1245" s="28"/>
      <c r="AH1245" s="28"/>
      <c r="AI1245" s="28"/>
      <c r="AJ1245" s="28"/>
      <c r="AK1245" s="28"/>
      <c r="AL1245" s="28"/>
      <c r="AM1245" s="28"/>
      <c r="AN1245" s="28"/>
      <c r="AO1245" s="28"/>
      <c r="AP1245" s="28"/>
      <c r="AQ1245" s="28"/>
      <c r="AR1245" s="28"/>
      <c r="AS1245" s="28"/>
      <c r="AT1245" s="28"/>
      <c r="AU1245" s="28"/>
      <c r="AV1245" s="28"/>
      <c r="AW1245" s="28"/>
      <c r="AX1245" s="28"/>
      <c r="AY1245" s="28"/>
      <c r="AZ1245" s="28"/>
      <c r="BA1245" s="28"/>
      <c r="BB1245" s="28"/>
      <c r="BC1245" s="28"/>
      <c r="BD1245" s="28"/>
      <c r="BE1245" s="28"/>
      <c r="BF1245" s="28"/>
      <c r="BG1245" s="28"/>
      <c r="BH1245" s="28"/>
      <c r="BI1245" s="28"/>
      <c r="BJ1245" s="28"/>
      <c r="BK1245" s="28"/>
      <c r="BL1245" s="28"/>
    </row>
    <row r="1246" spans="1:64" ht="12.75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28"/>
      <c r="L1246" s="28"/>
      <c r="M1246" s="28"/>
      <c r="N1246" s="28"/>
      <c r="O1246" s="28"/>
      <c r="P1246" s="28"/>
      <c r="Q1246" s="28"/>
      <c r="R1246" s="28"/>
      <c r="S1246" s="28"/>
      <c r="T1246" s="28"/>
      <c r="U1246" s="28"/>
      <c r="V1246" s="28"/>
      <c r="W1246" s="28"/>
      <c r="X1246" s="28"/>
      <c r="Y1246" s="28"/>
      <c r="Z1246" s="28"/>
      <c r="AA1246" s="28"/>
      <c r="AB1246" s="28"/>
      <c r="AC1246" s="28"/>
      <c r="AD1246" s="28"/>
      <c r="AE1246" s="28"/>
      <c r="AF1246" s="28"/>
      <c r="AG1246" s="28"/>
      <c r="AH1246" s="28"/>
      <c r="AI1246" s="28"/>
      <c r="AJ1246" s="28"/>
      <c r="AK1246" s="28"/>
      <c r="AL1246" s="28"/>
      <c r="AM1246" s="28"/>
      <c r="AN1246" s="28"/>
      <c r="AO1246" s="28"/>
      <c r="AP1246" s="28"/>
      <c r="AQ1246" s="28"/>
      <c r="AR1246" s="28"/>
      <c r="AS1246" s="28"/>
      <c r="AT1246" s="28"/>
      <c r="AU1246" s="28"/>
      <c r="AV1246" s="28"/>
      <c r="AW1246" s="28"/>
      <c r="AX1246" s="28"/>
      <c r="AY1246" s="28"/>
      <c r="AZ1246" s="28"/>
      <c r="BA1246" s="28"/>
      <c r="BB1246" s="28"/>
      <c r="BC1246" s="28"/>
      <c r="BD1246" s="28"/>
      <c r="BE1246" s="28"/>
      <c r="BF1246" s="28"/>
      <c r="BG1246" s="28"/>
      <c r="BH1246" s="28"/>
      <c r="BI1246" s="28"/>
      <c r="BJ1246" s="28"/>
      <c r="BK1246" s="28"/>
      <c r="BL1246" s="28"/>
    </row>
    <row r="1247" spans="1:64" ht="12.75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28"/>
      <c r="L1247" s="28"/>
      <c r="M1247" s="28"/>
      <c r="N1247" s="28"/>
      <c r="O1247" s="28"/>
      <c r="P1247" s="28"/>
      <c r="Q1247" s="28"/>
      <c r="R1247" s="28"/>
      <c r="S1247" s="28"/>
      <c r="T1247" s="28"/>
      <c r="U1247" s="28"/>
      <c r="V1247" s="28"/>
      <c r="W1247" s="28"/>
      <c r="X1247" s="28"/>
      <c r="Y1247" s="28"/>
      <c r="Z1247" s="28"/>
      <c r="AA1247" s="28"/>
      <c r="AB1247" s="28"/>
      <c r="AC1247" s="28"/>
      <c r="AD1247" s="28"/>
      <c r="AE1247" s="28"/>
      <c r="AF1247" s="28"/>
      <c r="AG1247" s="28"/>
      <c r="AH1247" s="28"/>
      <c r="AI1247" s="28"/>
      <c r="AJ1247" s="28"/>
      <c r="AK1247" s="28"/>
      <c r="AL1247" s="28"/>
      <c r="AM1247" s="28"/>
      <c r="AN1247" s="28"/>
      <c r="AO1247" s="28"/>
      <c r="AP1247" s="28"/>
      <c r="AQ1247" s="28"/>
      <c r="AR1247" s="28"/>
      <c r="AS1247" s="28"/>
      <c r="AT1247" s="28"/>
      <c r="AU1247" s="28"/>
      <c r="AV1247" s="28"/>
      <c r="AW1247" s="28"/>
      <c r="AX1247" s="28"/>
      <c r="AY1247" s="28"/>
      <c r="AZ1247" s="28"/>
      <c r="BA1247" s="28"/>
      <c r="BB1247" s="28"/>
      <c r="BC1247" s="28"/>
      <c r="BD1247" s="28"/>
      <c r="BE1247" s="28"/>
      <c r="BF1247" s="28"/>
      <c r="BG1247" s="28"/>
      <c r="BH1247" s="28"/>
      <c r="BI1247" s="28"/>
      <c r="BJ1247" s="28"/>
      <c r="BK1247" s="28"/>
      <c r="BL1247" s="28"/>
    </row>
    <row r="1248" spans="1:64" ht="12.75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28"/>
      <c r="L1248" s="28"/>
      <c r="M1248" s="28"/>
      <c r="N1248" s="28"/>
      <c r="O1248" s="28"/>
      <c r="P1248" s="28"/>
      <c r="Q1248" s="28"/>
      <c r="R1248" s="28"/>
      <c r="S1248" s="28"/>
      <c r="T1248" s="28"/>
      <c r="U1248" s="28"/>
      <c r="V1248" s="28"/>
      <c r="W1248" s="28"/>
      <c r="X1248" s="28"/>
      <c r="Y1248" s="28"/>
      <c r="Z1248" s="28"/>
      <c r="AA1248" s="28"/>
      <c r="AB1248" s="28"/>
      <c r="AC1248" s="28"/>
      <c r="AD1248" s="28"/>
      <c r="AE1248" s="28"/>
      <c r="AF1248" s="28"/>
      <c r="AG1248" s="28"/>
      <c r="AH1248" s="28"/>
      <c r="AI1248" s="28"/>
      <c r="AJ1248" s="28"/>
      <c r="AK1248" s="28"/>
      <c r="AL1248" s="28"/>
      <c r="AM1248" s="28"/>
      <c r="AN1248" s="28"/>
      <c r="AO1248" s="28"/>
      <c r="AP1248" s="28"/>
      <c r="AQ1248" s="28"/>
      <c r="AR1248" s="28"/>
      <c r="AS1248" s="28"/>
      <c r="AT1248" s="28"/>
      <c r="AU1248" s="28"/>
      <c r="AV1248" s="28"/>
      <c r="AW1248" s="28"/>
      <c r="AX1248" s="28"/>
      <c r="AY1248" s="28"/>
      <c r="AZ1248" s="28"/>
      <c r="BA1248" s="28"/>
      <c r="BB1248" s="28"/>
      <c r="BC1248" s="28"/>
      <c r="BD1248" s="28"/>
      <c r="BE1248" s="28"/>
      <c r="BF1248" s="28"/>
      <c r="BG1248" s="28"/>
      <c r="BH1248" s="28"/>
      <c r="BI1248" s="28"/>
      <c r="BJ1248" s="28"/>
      <c r="BK1248" s="28"/>
      <c r="BL1248" s="28"/>
    </row>
    <row r="1249" spans="1:64" ht="12.75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28"/>
      <c r="L1249" s="28"/>
      <c r="M1249" s="28"/>
      <c r="N1249" s="28"/>
      <c r="O1249" s="28"/>
      <c r="P1249" s="28"/>
      <c r="Q1249" s="28"/>
      <c r="R1249" s="28"/>
      <c r="S1249" s="28"/>
      <c r="T1249" s="28"/>
      <c r="U1249" s="28"/>
      <c r="V1249" s="28"/>
      <c r="W1249" s="28"/>
      <c r="X1249" s="28"/>
      <c r="Y1249" s="28"/>
      <c r="Z1249" s="28"/>
      <c r="AA1249" s="28"/>
      <c r="AB1249" s="28"/>
      <c r="AC1249" s="28"/>
      <c r="AD1249" s="28"/>
      <c r="AE1249" s="28"/>
      <c r="AF1249" s="28"/>
      <c r="AG1249" s="28"/>
      <c r="AH1249" s="28"/>
      <c r="AI1249" s="28"/>
      <c r="AJ1249" s="28"/>
      <c r="AK1249" s="28"/>
      <c r="AL1249" s="28"/>
      <c r="AM1249" s="28"/>
      <c r="AN1249" s="28"/>
      <c r="AO1249" s="28"/>
      <c r="AP1249" s="28"/>
      <c r="AQ1249" s="28"/>
      <c r="AR1249" s="28"/>
      <c r="AS1249" s="28"/>
      <c r="AT1249" s="28"/>
      <c r="AU1249" s="28"/>
      <c r="AV1249" s="28"/>
      <c r="AW1249" s="28"/>
      <c r="AX1249" s="28"/>
      <c r="AY1249" s="28"/>
      <c r="AZ1249" s="28"/>
      <c r="BA1249" s="28"/>
      <c r="BB1249" s="28"/>
      <c r="BC1249" s="28"/>
      <c r="BD1249" s="28"/>
      <c r="BE1249" s="28"/>
      <c r="BF1249" s="28"/>
      <c r="BG1249" s="28"/>
      <c r="BH1249" s="28"/>
      <c r="BI1249" s="28"/>
      <c r="BJ1249" s="28"/>
      <c r="BK1249" s="28"/>
      <c r="BL1249" s="28"/>
    </row>
    <row r="1250" spans="1:64" ht="12.75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28"/>
      <c r="L1250" s="28"/>
      <c r="M1250" s="28"/>
      <c r="N1250" s="28"/>
      <c r="O1250" s="28"/>
      <c r="P1250" s="28"/>
      <c r="Q1250" s="28"/>
      <c r="R1250" s="28"/>
      <c r="S1250" s="28"/>
      <c r="T1250" s="28"/>
      <c r="U1250" s="28"/>
      <c r="V1250" s="28"/>
      <c r="W1250" s="28"/>
      <c r="X1250" s="28"/>
      <c r="Y1250" s="28"/>
      <c r="Z1250" s="28"/>
      <c r="AA1250" s="28"/>
      <c r="AB1250" s="28"/>
      <c r="AC1250" s="28"/>
      <c r="AD1250" s="28"/>
      <c r="AE1250" s="28"/>
      <c r="AF1250" s="28"/>
      <c r="AG1250" s="28"/>
      <c r="AH1250" s="28"/>
      <c r="AI1250" s="28"/>
      <c r="AJ1250" s="28"/>
      <c r="AK1250" s="28"/>
      <c r="AL1250" s="28"/>
      <c r="AM1250" s="28"/>
      <c r="AN1250" s="28"/>
      <c r="AO1250" s="28"/>
      <c r="AP1250" s="28"/>
      <c r="AQ1250" s="28"/>
      <c r="AR1250" s="28"/>
      <c r="AS1250" s="28"/>
      <c r="AT1250" s="28"/>
      <c r="AU1250" s="28"/>
      <c r="AV1250" s="28"/>
      <c r="AW1250" s="28"/>
      <c r="AX1250" s="28"/>
      <c r="AY1250" s="28"/>
      <c r="AZ1250" s="28"/>
      <c r="BA1250" s="28"/>
      <c r="BB1250" s="28"/>
      <c r="BC1250" s="28"/>
      <c r="BD1250" s="28"/>
      <c r="BE1250" s="28"/>
      <c r="BF1250" s="28"/>
      <c r="BG1250" s="28"/>
      <c r="BH1250" s="28"/>
      <c r="BI1250" s="28"/>
      <c r="BJ1250" s="28"/>
      <c r="BK1250" s="28"/>
      <c r="BL1250" s="28"/>
    </row>
    <row r="1251" spans="1:64" ht="12.75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28"/>
      <c r="L1251" s="28"/>
      <c r="M1251" s="28"/>
      <c r="N1251" s="28"/>
      <c r="O1251" s="28"/>
      <c r="P1251" s="28"/>
      <c r="Q1251" s="28"/>
      <c r="R1251" s="28"/>
      <c r="S1251" s="28"/>
      <c r="T1251" s="28"/>
      <c r="U1251" s="28"/>
      <c r="V1251" s="28"/>
      <c r="W1251" s="28"/>
      <c r="X1251" s="28"/>
      <c r="Y1251" s="28"/>
      <c r="Z1251" s="28"/>
      <c r="AA1251" s="28"/>
      <c r="AB1251" s="28"/>
      <c r="AC1251" s="28"/>
      <c r="AD1251" s="28"/>
      <c r="AE1251" s="28"/>
      <c r="AF1251" s="28"/>
      <c r="AG1251" s="28"/>
      <c r="AH1251" s="28"/>
      <c r="AI1251" s="28"/>
      <c r="AJ1251" s="28"/>
      <c r="AK1251" s="28"/>
      <c r="AL1251" s="28"/>
      <c r="AM1251" s="28"/>
      <c r="AN1251" s="28"/>
      <c r="AO1251" s="28"/>
      <c r="AP1251" s="28"/>
      <c r="AQ1251" s="28"/>
      <c r="AR1251" s="28"/>
      <c r="AS1251" s="28"/>
      <c r="AT1251" s="28"/>
      <c r="AU1251" s="28"/>
      <c r="AV1251" s="28"/>
      <c r="AW1251" s="28"/>
      <c r="AX1251" s="28"/>
      <c r="AY1251" s="28"/>
      <c r="AZ1251" s="28"/>
      <c r="BA1251" s="28"/>
      <c r="BB1251" s="28"/>
      <c r="BC1251" s="28"/>
      <c r="BD1251" s="28"/>
      <c r="BE1251" s="28"/>
      <c r="BF1251" s="28"/>
      <c r="BG1251" s="28"/>
      <c r="BH1251" s="28"/>
      <c r="BI1251" s="28"/>
      <c r="BJ1251" s="28"/>
      <c r="BK1251" s="28"/>
      <c r="BL1251" s="28"/>
    </row>
    <row r="1252" spans="1:64" ht="12.75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28"/>
      <c r="L1252" s="28"/>
      <c r="M1252" s="28"/>
      <c r="N1252" s="28"/>
      <c r="O1252" s="28"/>
      <c r="P1252" s="28"/>
      <c r="Q1252" s="28"/>
      <c r="R1252" s="28"/>
      <c r="S1252" s="28"/>
      <c r="T1252" s="28"/>
      <c r="U1252" s="28"/>
      <c r="V1252" s="28"/>
      <c r="W1252" s="28"/>
      <c r="X1252" s="28"/>
      <c r="Y1252" s="28"/>
      <c r="Z1252" s="28"/>
      <c r="AA1252" s="28"/>
      <c r="AB1252" s="28"/>
      <c r="AC1252" s="28"/>
      <c r="AD1252" s="28"/>
      <c r="AE1252" s="28"/>
      <c r="AF1252" s="28"/>
      <c r="AG1252" s="28"/>
      <c r="AH1252" s="28"/>
      <c r="AI1252" s="28"/>
      <c r="AJ1252" s="28"/>
      <c r="AK1252" s="28"/>
      <c r="AL1252" s="28"/>
      <c r="AM1252" s="28"/>
      <c r="AN1252" s="28"/>
      <c r="AO1252" s="28"/>
      <c r="AP1252" s="28"/>
      <c r="AQ1252" s="28"/>
      <c r="AR1252" s="28"/>
      <c r="AS1252" s="28"/>
      <c r="AT1252" s="28"/>
      <c r="AU1252" s="28"/>
      <c r="AV1252" s="28"/>
      <c r="AW1252" s="28"/>
      <c r="AX1252" s="28"/>
      <c r="AY1252" s="28"/>
      <c r="AZ1252" s="28"/>
      <c r="BA1252" s="28"/>
      <c r="BB1252" s="28"/>
      <c r="BC1252" s="28"/>
      <c r="BD1252" s="28"/>
      <c r="BE1252" s="28"/>
      <c r="BF1252" s="28"/>
      <c r="BG1252" s="28"/>
      <c r="BH1252" s="28"/>
      <c r="BI1252" s="28"/>
      <c r="BJ1252" s="28"/>
      <c r="BK1252" s="28"/>
      <c r="BL1252" s="28"/>
    </row>
    <row r="1253" spans="1:64" ht="12.75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28"/>
      <c r="L1253" s="28"/>
      <c r="M1253" s="28"/>
      <c r="N1253" s="28"/>
      <c r="O1253" s="28"/>
      <c r="P1253" s="28"/>
      <c r="Q1253" s="28"/>
      <c r="R1253" s="28"/>
      <c r="S1253" s="28"/>
      <c r="T1253" s="28"/>
      <c r="U1253" s="28"/>
      <c r="V1253" s="28"/>
      <c r="W1253" s="28"/>
      <c r="X1253" s="28"/>
      <c r="Y1253" s="28"/>
      <c r="Z1253" s="28"/>
      <c r="AA1253" s="28"/>
      <c r="AB1253" s="28"/>
      <c r="AC1253" s="28"/>
      <c r="AD1253" s="28"/>
      <c r="AE1253" s="28"/>
      <c r="AF1253" s="28"/>
      <c r="AG1253" s="28"/>
      <c r="AH1253" s="28"/>
      <c r="AI1253" s="28"/>
      <c r="AJ1253" s="28"/>
      <c r="AK1253" s="28"/>
      <c r="AL1253" s="28"/>
      <c r="AM1253" s="28"/>
      <c r="AN1253" s="28"/>
      <c r="AO1253" s="28"/>
      <c r="AP1253" s="28"/>
      <c r="AQ1253" s="28"/>
      <c r="AR1253" s="28"/>
      <c r="AS1253" s="28"/>
      <c r="AT1253" s="28"/>
      <c r="AU1253" s="28"/>
      <c r="AV1253" s="28"/>
      <c r="AW1253" s="28"/>
      <c r="AX1253" s="28"/>
      <c r="AY1253" s="28"/>
      <c r="AZ1253" s="28"/>
      <c r="BA1253" s="28"/>
      <c r="BB1253" s="28"/>
      <c r="BC1253" s="28"/>
      <c r="BD1253" s="28"/>
      <c r="BE1253" s="28"/>
      <c r="BF1253" s="28"/>
      <c r="BG1253" s="28"/>
      <c r="BH1253" s="28"/>
      <c r="BI1253" s="28"/>
      <c r="BJ1253" s="28"/>
      <c r="BK1253" s="28"/>
      <c r="BL1253" s="28"/>
    </row>
    <row r="1254" spans="1:64" ht="12.75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28"/>
      <c r="L1254" s="28"/>
      <c r="M1254" s="28"/>
      <c r="N1254" s="28"/>
      <c r="O1254" s="28"/>
      <c r="P1254" s="28"/>
      <c r="Q1254" s="28"/>
      <c r="R1254" s="28"/>
      <c r="S1254" s="28"/>
      <c r="T1254" s="28"/>
      <c r="U1254" s="28"/>
      <c r="V1254" s="28"/>
      <c r="W1254" s="28"/>
      <c r="X1254" s="28"/>
      <c r="Y1254" s="28"/>
      <c r="Z1254" s="28"/>
      <c r="AA1254" s="28"/>
      <c r="AB1254" s="28"/>
      <c r="AC1254" s="28"/>
      <c r="AD1254" s="28"/>
      <c r="AE1254" s="28"/>
      <c r="AF1254" s="28"/>
      <c r="AG1254" s="28"/>
      <c r="AH1254" s="28"/>
      <c r="AI1254" s="28"/>
      <c r="AJ1254" s="28"/>
      <c r="AK1254" s="28"/>
      <c r="AL1254" s="28"/>
      <c r="AM1254" s="28"/>
      <c r="AN1254" s="28"/>
      <c r="AO1254" s="28"/>
      <c r="AP1254" s="28"/>
      <c r="AQ1254" s="28"/>
      <c r="AR1254" s="28"/>
      <c r="AS1254" s="28"/>
      <c r="AT1254" s="28"/>
      <c r="AU1254" s="28"/>
      <c r="AV1254" s="28"/>
      <c r="AW1254" s="28"/>
      <c r="AX1254" s="28"/>
      <c r="AY1254" s="28"/>
      <c r="AZ1254" s="28"/>
      <c r="BA1254" s="28"/>
      <c r="BB1254" s="28"/>
      <c r="BC1254" s="28"/>
      <c r="BD1254" s="28"/>
      <c r="BE1254" s="28"/>
      <c r="BF1254" s="28"/>
      <c r="BG1254" s="28"/>
      <c r="BH1254" s="28"/>
      <c r="BI1254" s="28"/>
      <c r="BJ1254" s="28"/>
      <c r="BK1254" s="28"/>
      <c r="BL1254" s="28"/>
    </row>
  </sheetData>
  <pageMargins left="0.7" right="0.7" top="0.78740157499999996" bottom="0.78740157499999996" header="0.3" footer="0.3"/>
  <tableParts count="2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K72"/>
  <sheetViews>
    <sheetView topLeftCell="B1" workbookViewId="0"/>
  </sheetViews>
  <sheetFormatPr defaultColWidth="14.42578125" defaultRowHeight="15.75" customHeight="1"/>
  <cols>
    <col min="1" max="1" width="14.42578125" hidden="1"/>
    <col min="3" max="28" width="14.42578125" hidden="1"/>
  </cols>
  <sheetData>
    <row r="1" spans="1:63" ht="23.25" customHeight="1">
      <c r="A1" s="31">
        <v>94</v>
      </c>
      <c r="B1" s="32">
        <v>11</v>
      </c>
      <c r="C1" s="48">
        <v>1</v>
      </c>
      <c r="D1" s="48" t="s">
        <v>158</v>
      </c>
      <c r="E1" s="48" t="s">
        <v>191</v>
      </c>
      <c r="F1" s="48" t="s">
        <v>747</v>
      </c>
      <c r="G1" s="48" t="s">
        <v>748</v>
      </c>
      <c r="H1" s="48">
        <v>608887198</v>
      </c>
      <c r="I1" s="53"/>
      <c r="J1" s="48" t="s">
        <v>749</v>
      </c>
      <c r="K1" s="48">
        <v>34</v>
      </c>
      <c r="L1" s="48" t="s">
        <v>15</v>
      </c>
      <c r="M1" s="48" t="s">
        <v>1</v>
      </c>
      <c r="N1" s="48">
        <v>58603</v>
      </c>
      <c r="O1" s="48" t="s">
        <v>750</v>
      </c>
      <c r="P1" s="53"/>
      <c r="Q1" s="48" t="s">
        <v>764</v>
      </c>
      <c r="R1" s="48" t="s">
        <v>266</v>
      </c>
      <c r="S1" s="48" t="s">
        <v>5</v>
      </c>
      <c r="T1" s="48" t="s">
        <v>255</v>
      </c>
      <c r="U1" s="53"/>
      <c r="V1" s="48" t="s">
        <v>1600</v>
      </c>
      <c r="W1" s="48">
        <v>53646</v>
      </c>
      <c r="X1" s="48" t="s">
        <v>765</v>
      </c>
      <c r="Y1" s="52" t="s">
        <v>766</v>
      </c>
      <c r="Z1" s="48" t="s">
        <v>415</v>
      </c>
      <c r="AA1" s="48" t="s">
        <v>767</v>
      </c>
      <c r="AB1" s="48" t="s">
        <v>1446</v>
      </c>
      <c r="AC1" s="48" t="s">
        <v>1446</v>
      </c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48" t="s">
        <v>768</v>
      </c>
      <c r="AO1" s="48" t="s">
        <v>33</v>
      </c>
      <c r="AP1" s="48" t="s">
        <v>25</v>
      </c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48"/>
      <c r="BH1" s="51"/>
      <c r="BI1" s="51"/>
      <c r="BJ1" s="51"/>
      <c r="BK1" s="51"/>
    </row>
    <row r="2" spans="1:63" ht="23.25" customHeight="1">
      <c r="A2" s="31">
        <v>93</v>
      </c>
      <c r="B2" s="32">
        <v>12</v>
      </c>
      <c r="C2" s="48">
        <v>1</v>
      </c>
      <c r="D2" s="48" t="s">
        <v>158</v>
      </c>
      <c r="E2" s="48" t="s">
        <v>191</v>
      </c>
      <c r="F2" s="48" t="s">
        <v>747</v>
      </c>
      <c r="G2" s="48" t="s">
        <v>748</v>
      </c>
      <c r="H2" s="48">
        <v>608887198</v>
      </c>
      <c r="I2" s="53"/>
      <c r="J2" s="48" t="s">
        <v>749</v>
      </c>
      <c r="K2" s="48">
        <v>34</v>
      </c>
      <c r="L2" s="48" t="s">
        <v>15</v>
      </c>
      <c r="M2" s="48" t="s">
        <v>1</v>
      </c>
      <c r="N2" s="48">
        <v>58603</v>
      </c>
      <c r="O2" s="48" t="s">
        <v>750</v>
      </c>
      <c r="P2" s="53"/>
      <c r="Q2" s="48" t="s">
        <v>761</v>
      </c>
      <c r="R2" s="48" t="s">
        <v>266</v>
      </c>
      <c r="S2" s="48" t="s">
        <v>5</v>
      </c>
      <c r="T2" s="53"/>
      <c r="U2" s="53"/>
      <c r="V2" s="48" t="s">
        <v>1601</v>
      </c>
      <c r="W2" s="48">
        <v>53662</v>
      </c>
      <c r="X2" s="48" t="s">
        <v>127</v>
      </c>
      <c r="Y2" s="52" t="s">
        <v>414</v>
      </c>
      <c r="Z2" s="48" t="s">
        <v>275</v>
      </c>
      <c r="AA2" s="48" t="s">
        <v>762</v>
      </c>
      <c r="AB2" s="48" t="s">
        <v>1446</v>
      </c>
      <c r="AC2" s="48" t="s">
        <v>1446</v>
      </c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48" t="s">
        <v>763</v>
      </c>
      <c r="AO2" s="48" t="s">
        <v>33</v>
      </c>
      <c r="AP2" s="48" t="s">
        <v>25</v>
      </c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48"/>
      <c r="BH2" s="51"/>
      <c r="BI2" s="51"/>
      <c r="BJ2" s="51"/>
      <c r="BK2" s="51"/>
    </row>
    <row r="3" spans="1:63" ht="23.25" customHeight="1">
      <c r="A3" s="31">
        <v>92</v>
      </c>
      <c r="B3" s="32">
        <v>43</v>
      </c>
      <c r="C3" s="48">
        <v>1</v>
      </c>
      <c r="D3" s="48" t="s">
        <v>664</v>
      </c>
      <c r="E3" s="48" t="s">
        <v>191</v>
      </c>
      <c r="F3" s="48" t="s">
        <v>747</v>
      </c>
      <c r="G3" s="48" t="s">
        <v>748</v>
      </c>
      <c r="H3" s="48">
        <v>608887198</v>
      </c>
      <c r="I3" s="53"/>
      <c r="J3" s="48" t="s">
        <v>749</v>
      </c>
      <c r="K3" s="48">
        <v>34</v>
      </c>
      <c r="L3" s="48" t="s">
        <v>15</v>
      </c>
      <c r="M3" s="48" t="s">
        <v>1</v>
      </c>
      <c r="N3" s="48">
        <v>58603</v>
      </c>
      <c r="O3" s="48" t="s">
        <v>750</v>
      </c>
      <c r="P3" s="53"/>
      <c r="Q3" s="48" t="s">
        <v>758</v>
      </c>
      <c r="R3" s="48" t="s">
        <v>661</v>
      </c>
      <c r="S3" s="48" t="s">
        <v>5</v>
      </c>
      <c r="T3" s="48" t="s">
        <v>255</v>
      </c>
      <c r="U3" s="53"/>
      <c r="V3" s="48" t="s">
        <v>1502</v>
      </c>
      <c r="W3" s="48">
        <v>941000024821149</v>
      </c>
      <c r="X3" s="48" t="s">
        <v>359</v>
      </c>
      <c r="Y3" s="52" t="s">
        <v>359</v>
      </c>
      <c r="Z3" s="48" t="s">
        <v>666</v>
      </c>
      <c r="AA3" s="48" t="s">
        <v>140</v>
      </c>
      <c r="AB3" s="48" t="s">
        <v>759</v>
      </c>
      <c r="AC3" s="48" t="s">
        <v>1446</v>
      </c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48" t="s">
        <v>760</v>
      </c>
      <c r="AO3" s="48" t="s">
        <v>33</v>
      </c>
      <c r="AP3" s="48" t="s">
        <v>25</v>
      </c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48"/>
      <c r="BH3" s="51"/>
      <c r="BI3" s="51"/>
      <c r="BJ3" s="51"/>
      <c r="BK3" s="51"/>
    </row>
    <row r="4" spans="1:63" ht="23.25" customHeight="1">
      <c r="A4" s="31">
        <v>89</v>
      </c>
      <c r="B4" s="32">
        <v>53</v>
      </c>
      <c r="C4" s="48">
        <v>1</v>
      </c>
      <c r="D4" s="48" t="s">
        <v>178</v>
      </c>
      <c r="E4" s="48" t="s">
        <v>191</v>
      </c>
      <c r="F4" s="48" t="s">
        <v>747</v>
      </c>
      <c r="G4" s="48" t="s">
        <v>748</v>
      </c>
      <c r="H4" s="48">
        <v>608887198</v>
      </c>
      <c r="I4" s="53"/>
      <c r="J4" s="48" t="s">
        <v>749</v>
      </c>
      <c r="K4" s="48">
        <v>34</v>
      </c>
      <c r="L4" s="48" t="s">
        <v>15</v>
      </c>
      <c r="M4" s="48" t="s">
        <v>1</v>
      </c>
      <c r="N4" s="48">
        <v>58603</v>
      </c>
      <c r="O4" s="48" t="s">
        <v>750</v>
      </c>
      <c r="P4" s="53"/>
      <c r="Q4" s="48" t="s">
        <v>751</v>
      </c>
      <c r="R4" s="48" t="s">
        <v>266</v>
      </c>
      <c r="S4" s="48" t="s">
        <v>5</v>
      </c>
      <c r="T4" s="48" t="s">
        <v>255</v>
      </c>
      <c r="U4" s="53"/>
      <c r="V4" s="48" t="s">
        <v>1464</v>
      </c>
      <c r="W4" s="48">
        <v>963002100010242</v>
      </c>
      <c r="X4" s="48" t="s">
        <v>359</v>
      </c>
      <c r="Y4" s="52" t="s">
        <v>359</v>
      </c>
      <c r="Z4" s="48" t="s">
        <v>275</v>
      </c>
      <c r="AA4" s="48" t="s">
        <v>752</v>
      </c>
      <c r="AB4" s="48" t="s">
        <v>1446</v>
      </c>
      <c r="AC4" s="48" t="s">
        <v>1446</v>
      </c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48" t="s">
        <v>753</v>
      </c>
      <c r="AO4" s="48" t="s">
        <v>359</v>
      </c>
      <c r="AP4" s="48" t="s">
        <v>359</v>
      </c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48"/>
      <c r="BH4" s="51"/>
      <c r="BI4" s="51"/>
      <c r="BJ4" s="51"/>
      <c r="BK4" s="51"/>
    </row>
    <row r="5" spans="1:63" ht="23.25" customHeight="1">
      <c r="A5" s="42">
        <v>90</v>
      </c>
      <c r="B5" s="32">
        <v>57</v>
      </c>
      <c r="C5" s="44">
        <v>1</v>
      </c>
      <c r="D5" s="44" t="s">
        <v>178</v>
      </c>
      <c r="E5" s="44" t="s">
        <v>205</v>
      </c>
      <c r="F5" s="44" t="s">
        <v>747</v>
      </c>
      <c r="G5" s="44" t="s">
        <v>748</v>
      </c>
      <c r="H5" s="44">
        <v>608887198</v>
      </c>
      <c r="I5" s="50"/>
      <c r="J5" s="44" t="s">
        <v>749</v>
      </c>
      <c r="K5" s="44">
        <v>34</v>
      </c>
      <c r="L5" s="44" t="s">
        <v>15</v>
      </c>
      <c r="M5" s="44" t="s">
        <v>1</v>
      </c>
      <c r="N5" s="44">
        <v>58603</v>
      </c>
      <c r="O5" s="44" t="s">
        <v>750</v>
      </c>
      <c r="P5" s="50"/>
      <c r="Q5" s="44" t="s">
        <v>754</v>
      </c>
      <c r="R5" s="44" t="s">
        <v>266</v>
      </c>
      <c r="S5" s="44" t="s">
        <v>5</v>
      </c>
      <c r="T5" s="44" t="s">
        <v>255</v>
      </c>
      <c r="U5" s="50"/>
      <c r="V5" s="44" t="s">
        <v>1464</v>
      </c>
      <c r="W5" s="44">
        <v>963002100010628</v>
      </c>
      <c r="X5" s="44" t="s">
        <v>359</v>
      </c>
      <c r="Y5" s="46" t="s">
        <v>359</v>
      </c>
      <c r="Z5" s="44" t="s">
        <v>275</v>
      </c>
      <c r="AA5" s="44" t="s">
        <v>752</v>
      </c>
      <c r="AB5" s="44" t="s">
        <v>1446</v>
      </c>
      <c r="AC5" s="44" t="s">
        <v>1446</v>
      </c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44" t="s">
        <v>755</v>
      </c>
      <c r="AO5" s="44" t="s">
        <v>359</v>
      </c>
      <c r="AP5" s="44" t="s">
        <v>359</v>
      </c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44"/>
      <c r="BH5" s="45"/>
      <c r="BI5" s="45"/>
      <c r="BJ5" s="45"/>
      <c r="BK5" s="45"/>
    </row>
    <row r="6" spans="1:63" ht="23.25" customHeight="1">
      <c r="A6" s="69">
        <v>68</v>
      </c>
      <c r="B6" s="32">
        <v>49</v>
      </c>
      <c r="C6" s="40">
        <v>1</v>
      </c>
      <c r="D6" s="40" t="s">
        <v>82</v>
      </c>
      <c r="E6" s="40" t="s">
        <v>191</v>
      </c>
      <c r="F6" s="40" t="s">
        <v>36</v>
      </c>
      <c r="G6" s="40" t="s">
        <v>585</v>
      </c>
      <c r="H6" s="107" t="s">
        <v>586</v>
      </c>
      <c r="I6" s="80"/>
      <c r="J6" s="40" t="s">
        <v>587</v>
      </c>
      <c r="K6" s="40">
        <v>453</v>
      </c>
      <c r="L6" s="40" t="s">
        <v>588</v>
      </c>
      <c r="M6" s="40" t="s">
        <v>11</v>
      </c>
      <c r="N6" s="40">
        <v>28002</v>
      </c>
      <c r="O6" s="40" t="s">
        <v>589</v>
      </c>
      <c r="P6" s="80"/>
      <c r="Q6" s="40" t="s">
        <v>598</v>
      </c>
      <c r="R6" s="40" t="s">
        <v>591</v>
      </c>
      <c r="S6" s="40" t="s">
        <v>5</v>
      </c>
      <c r="T6" s="40" t="s">
        <v>24</v>
      </c>
      <c r="U6" s="80"/>
      <c r="V6" s="40" t="s">
        <v>1455</v>
      </c>
      <c r="W6" s="40">
        <v>981020000773961</v>
      </c>
      <c r="X6" s="40" t="s">
        <v>359</v>
      </c>
      <c r="Y6" s="41" t="s">
        <v>359</v>
      </c>
      <c r="Z6" s="40" t="s">
        <v>592</v>
      </c>
      <c r="AA6" s="40" t="s">
        <v>596</v>
      </c>
      <c r="AB6" s="40" t="s">
        <v>1456</v>
      </c>
      <c r="AC6" s="40" t="s">
        <v>1457</v>
      </c>
      <c r="AD6" s="80"/>
      <c r="AE6" s="80"/>
      <c r="AF6" s="82" t="str">
        <f>HYPERLINK("https://drive.google.com/open?id=1MHpWdErBFxeQJbkf2fkS60ChwyHwn0MW","Potvrzeni klubnovka.pdf")</f>
        <v>Potvrzeni klubnovka.pdf</v>
      </c>
      <c r="AG6" s="82" t="str">
        <f>HYPERLINK("https://drive.google.com/open?id=1gQcLafteyD5O0HphNrx3_G0xCzSG9i5m","platba ČKNO.pdf")</f>
        <v>platba ČKNO.pdf</v>
      </c>
      <c r="AH6" s="80"/>
      <c r="AI6" s="82" t="str">
        <f>HYPERLINK("https://drive.google.com/open?id=1_-9eBpFTVuBFLxLgFH7B_QIS7hKZRNm4","img20210725_16513908.pdf")</f>
        <v>img20210725_16513908.pdf</v>
      </c>
      <c r="AJ6" s="82" t="str">
        <f>HYPERLINK("https://drive.google.com/open?id=1MnR8-wMZlPbIfTTErUrmM_9RnOm8bfUp","img20210725_16554466.pdf")</f>
        <v>img20210725_16554466.pdf</v>
      </c>
      <c r="AK6" s="82" t="str">
        <f>HYPERLINK("https://drive.google.com/open?id=1Q3nVaaLiyZQ3-PbC8RC8vLobLhLkY4-V","img20210725_16563776.pdf")</f>
        <v>img20210725_16563776.pdf</v>
      </c>
      <c r="AL6" s="40" t="s">
        <v>4</v>
      </c>
      <c r="AM6" s="80"/>
      <c r="AN6" s="40" t="s">
        <v>599</v>
      </c>
      <c r="AO6" s="40" t="s">
        <v>359</v>
      </c>
      <c r="AP6" s="40" t="s">
        <v>359</v>
      </c>
      <c r="AQ6" s="80"/>
      <c r="AR6" s="80"/>
      <c r="AS6" s="80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40"/>
      <c r="BH6" s="84"/>
      <c r="BI6" s="84"/>
      <c r="BJ6" s="84"/>
      <c r="BK6" s="84"/>
    </row>
    <row r="7" spans="1:63" ht="23.25" customHeight="1">
      <c r="A7" s="150">
        <v>61</v>
      </c>
      <c r="B7" s="32">
        <v>2</v>
      </c>
      <c r="C7" s="185">
        <v>1</v>
      </c>
      <c r="D7" s="186" t="s">
        <v>54</v>
      </c>
      <c r="E7" s="186" t="s">
        <v>191</v>
      </c>
      <c r="F7" s="186" t="s">
        <v>535</v>
      </c>
      <c r="G7" s="186" t="s">
        <v>536</v>
      </c>
      <c r="H7" s="187" t="s">
        <v>537</v>
      </c>
      <c r="I7" s="188"/>
      <c r="J7" s="186" t="s">
        <v>538</v>
      </c>
      <c r="K7" s="185">
        <v>543</v>
      </c>
      <c r="L7" s="186" t="s">
        <v>539</v>
      </c>
      <c r="M7" s="186" t="s">
        <v>1</v>
      </c>
      <c r="N7" s="185">
        <v>33027</v>
      </c>
      <c r="O7" s="186" t="s">
        <v>540</v>
      </c>
      <c r="P7" s="188"/>
      <c r="Q7" s="186" t="s">
        <v>541</v>
      </c>
      <c r="R7" s="186" t="s">
        <v>542</v>
      </c>
      <c r="S7" s="186" t="s">
        <v>5</v>
      </c>
      <c r="T7" s="186" t="s">
        <v>24</v>
      </c>
      <c r="U7" s="188"/>
      <c r="V7" s="189" t="s">
        <v>1585</v>
      </c>
      <c r="W7" s="185">
        <v>941000023623480</v>
      </c>
      <c r="X7" s="186" t="s">
        <v>543</v>
      </c>
      <c r="Y7" s="187" t="s">
        <v>544</v>
      </c>
      <c r="Z7" s="186" t="s">
        <v>545</v>
      </c>
      <c r="AA7" s="186" t="s">
        <v>546</v>
      </c>
      <c r="AB7" s="190" t="s">
        <v>1586</v>
      </c>
      <c r="AC7" s="190" t="s">
        <v>1587</v>
      </c>
      <c r="AD7" s="188"/>
      <c r="AE7" s="191" t="str">
        <f>HYPERLINK("https://drive.google.com/open?id=1LQ2tUWwzGKzgalCK44PboTwpSUcHmThF","DSC_0948 (1).jpg")</f>
        <v>DSC_0948 (1).jpg</v>
      </c>
      <c r="AF7" s="191" t="str">
        <f>HYPERLINK("https://drive.google.com/open?id=1qfWU1gmHRN17XXBYv6YRvH-wafGCtiIX","Potvrzeni_o_odchozi_uhrade.pdf")</f>
        <v>Potvrzeni_o_odchozi_uhrade.pdf</v>
      </c>
      <c r="AG7" s="191" t="str">
        <f>HYPERLINK("https://drive.google.com/open?id=1z4i_ZUNDcR75OirOJ1eTmm7DN2k7x5OV","IMG_8286.JPG")</f>
        <v>IMG_8286.JPG</v>
      </c>
      <c r="AH7" s="191" t="str">
        <f>HYPERLINK("https://drive.google.com/open?id=1C-RXt1_eME9YhaBsVh9L9lbV_36YN7i4","IMG_8287.JPG")</f>
        <v>IMG_8287.JPG</v>
      </c>
      <c r="AI7" s="191" t="str">
        <f>HYPERLINK("https://drive.google.com/open?id=1gkncYkspDms_Lc2tuQ8UuJDw5ESa2fUm","IMG_8288.JPG")</f>
        <v>IMG_8288.JPG</v>
      </c>
      <c r="AJ7" s="191" t="str">
        <f>HYPERLINK("https://drive.google.com/open?id=1o3WmOMJg8uhCfFK68palEqp9BuAxH6DN","IMG_8294.JPG")</f>
        <v>IMG_8294.JPG</v>
      </c>
      <c r="AK7" s="188"/>
      <c r="AL7" s="186" t="s">
        <v>4</v>
      </c>
      <c r="AM7" s="188"/>
      <c r="AN7" s="186" t="s">
        <v>547</v>
      </c>
      <c r="AO7" s="186" t="s">
        <v>25</v>
      </c>
      <c r="AP7" s="186" t="s">
        <v>25</v>
      </c>
      <c r="AQ7" s="188"/>
      <c r="AR7" s="188"/>
      <c r="AS7" s="188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86"/>
      <c r="BH7" s="186"/>
      <c r="BI7" s="186"/>
      <c r="BJ7" s="186"/>
      <c r="BK7" s="186"/>
    </row>
    <row r="8" spans="1:63" ht="23.25" customHeight="1">
      <c r="A8" s="38">
        <v>10</v>
      </c>
      <c r="B8" s="32">
        <v>50</v>
      </c>
      <c r="C8" s="40">
        <v>1</v>
      </c>
      <c r="D8" s="40" t="s">
        <v>82</v>
      </c>
      <c r="E8" s="40"/>
      <c r="F8" s="40" t="s">
        <v>130</v>
      </c>
      <c r="G8" s="40" t="s">
        <v>131</v>
      </c>
      <c r="H8" s="91" t="s">
        <v>132</v>
      </c>
      <c r="I8" s="40"/>
      <c r="J8" s="92" t="s">
        <v>133</v>
      </c>
      <c r="K8" s="40">
        <v>86</v>
      </c>
      <c r="L8" s="40" t="s">
        <v>134</v>
      </c>
      <c r="M8" s="40" t="s">
        <v>17</v>
      </c>
      <c r="N8" s="40" t="s">
        <v>135</v>
      </c>
      <c r="O8" s="92" t="s">
        <v>136</v>
      </c>
      <c r="P8" s="40"/>
      <c r="Q8" s="40" t="s">
        <v>142</v>
      </c>
      <c r="R8" s="40" t="s">
        <v>138</v>
      </c>
      <c r="S8" s="40" t="s">
        <v>5</v>
      </c>
      <c r="T8" s="40" t="s">
        <v>24</v>
      </c>
      <c r="U8" s="40"/>
      <c r="V8" s="93" t="s">
        <v>1458</v>
      </c>
      <c r="W8" s="94">
        <v>203003000601663</v>
      </c>
      <c r="X8" s="40" t="s">
        <v>359</v>
      </c>
      <c r="Y8" s="41" t="s">
        <v>359</v>
      </c>
      <c r="Z8" s="40" t="s">
        <v>139</v>
      </c>
      <c r="AA8" s="40" t="s">
        <v>140</v>
      </c>
      <c r="AB8" s="40" t="s">
        <v>1459</v>
      </c>
      <c r="AC8" s="40" t="s">
        <v>1459</v>
      </c>
      <c r="AD8" s="40"/>
      <c r="AE8" s="40"/>
      <c r="AF8" s="95" t="str">
        <f>HYPERLINK("https://drive.google.com/open?id=19UZ23CuG-1Yslz-p7si4nIfORJrYUyY2","platba.txt")</f>
        <v>platba.txt</v>
      </c>
      <c r="AG8" s="40"/>
      <c r="AH8" s="40"/>
      <c r="AI8" s="95" t="str">
        <f>HYPERLINK("https://drive.google.com/open?id=125ZZ_nzmESh6UgRAqOOW3qi2XjiSih8X","FOX pp.pdf")</f>
        <v>FOX pp.pdf</v>
      </c>
      <c r="AJ8" s="40"/>
      <c r="AK8" s="40"/>
      <c r="AL8" s="40" t="s">
        <v>4</v>
      </c>
      <c r="AM8" s="40"/>
      <c r="AN8" s="40" t="s">
        <v>143</v>
      </c>
      <c r="AO8" s="40" t="s">
        <v>359</v>
      </c>
      <c r="AP8" s="40" t="s">
        <v>359</v>
      </c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</row>
    <row r="9" spans="1:63" ht="23.25" customHeight="1">
      <c r="A9" s="42">
        <v>100</v>
      </c>
      <c r="B9" s="32">
        <v>20</v>
      </c>
      <c r="C9" s="44">
        <v>1</v>
      </c>
      <c r="D9" s="44" t="s">
        <v>158</v>
      </c>
      <c r="E9" s="44" t="s">
        <v>191</v>
      </c>
      <c r="F9" s="44" t="s">
        <v>769</v>
      </c>
      <c r="G9" s="44" t="s">
        <v>770</v>
      </c>
      <c r="H9" s="44">
        <v>601336782</v>
      </c>
      <c r="I9" s="45"/>
      <c r="J9" s="44" t="s">
        <v>771</v>
      </c>
      <c r="K9" s="44">
        <v>18</v>
      </c>
      <c r="L9" s="44" t="s">
        <v>771</v>
      </c>
      <c r="M9" s="44" t="s">
        <v>1</v>
      </c>
      <c r="N9" s="44">
        <v>29404</v>
      </c>
      <c r="O9" s="44" t="s">
        <v>772</v>
      </c>
      <c r="P9" s="45"/>
      <c r="Q9" s="44" t="s">
        <v>789</v>
      </c>
      <c r="R9" s="44" t="s">
        <v>774</v>
      </c>
      <c r="S9" s="44" t="s">
        <v>5</v>
      </c>
      <c r="T9" s="44" t="s">
        <v>255</v>
      </c>
      <c r="U9" s="45"/>
      <c r="V9" s="44" t="s">
        <v>1616</v>
      </c>
      <c r="W9" s="44" t="s">
        <v>790</v>
      </c>
      <c r="X9" s="44" t="s">
        <v>127</v>
      </c>
      <c r="Y9" s="46" t="s">
        <v>359</v>
      </c>
      <c r="Z9" s="44" t="s">
        <v>791</v>
      </c>
      <c r="AA9" s="44" t="s">
        <v>792</v>
      </c>
      <c r="AB9" s="44" t="s">
        <v>1419</v>
      </c>
      <c r="AC9" s="44" t="s">
        <v>1419</v>
      </c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4" t="s">
        <v>793</v>
      </c>
      <c r="AO9" s="44" t="s">
        <v>33</v>
      </c>
      <c r="AP9" s="44" t="s">
        <v>25</v>
      </c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</row>
    <row r="10" spans="1:63" ht="23.25" customHeight="1">
      <c r="A10" s="42">
        <v>99</v>
      </c>
      <c r="B10" s="32">
        <v>63</v>
      </c>
      <c r="C10" s="44">
        <v>1</v>
      </c>
      <c r="D10" s="44" t="s">
        <v>263</v>
      </c>
      <c r="E10" s="44" t="s">
        <v>191</v>
      </c>
      <c r="F10" s="44" t="s">
        <v>769</v>
      </c>
      <c r="G10" s="44" t="s">
        <v>770</v>
      </c>
      <c r="H10" s="44">
        <v>601336782</v>
      </c>
      <c r="I10" s="45"/>
      <c r="J10" s="44" t="s">
        <v>771</v>
      </c>
      <c r="K10" s="44">
        <v>18</v>
      </c>
      <c r="L10" s="44" t="s">
        <v>771</v>
      </c>
      <c r="M10" s="44" t="s">
        <v>1</v>
      </c>
      <c r="N10" s="44">
        <v>29404</v>
      </c>
      <c r="O10" s="44" t="s">
        <v>772</v>
      </c>
      <c r="P10" s="45"/>
      <c r="Q10" s="44" t="s">
        <v>787</v>
      </c>
      <c r="R10" s="44" t="s">
        <v>774</v>
      </c>
      <c r="S10" s="44" t="s">
        <v>5</v>
      </c>
      <c r="T10" s="44" t="s">
        <v>255</v>
      </c>
      <c r="U10" s="45"/>
      <c r="V10" s="44" t="s">
        <v>1418</v>
      </c>
      <c r="W10" s="44">
        <v>967000010237897</v>
      </c>
      <c r="X10" s="44" t="s">
        <v>359</v>
      </c>
      <c r="Y10" s="46" t="s">
        <v>359</v>
      </c>
      <c r="Z10" s="44" t="s">
        <v>779</v>
      </c>
      <c r="AA10" s="44" t="s">
        <v>785</v>
      </c>
      <c r="AB10" s="44" t="s">
        <v>1419</v>
      </c>
      <c r="AC10" s="44" t="s">
        <v>1419</v>
      </c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4" t="s">
        <v>788</v>
      </c>
      <c r="AO10" s="44" t="s">
        <v>359</v>
      </c>
      <c r="AP10" s="44" t="s">
        <v>359</v>
      </c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</row>
    <row r="11" spans="1:63" ht="23.25" customHeight="1">
      <c r="A11" s="42">
        <v>144</v>
      </c>
      <c r="B11" s="32">
        <v>46</v>
      </c>
      <c r="C11" s="44">
        <v>1</v>
      </c>
      <c r="D11" s="44" t="s">
        <v>95</v>
      </c>
      <c r="E11" s="44" t="s">
        <v>205</v>
      </c>
      <c r="F11" s="44" t="s">
        <v>55</v>
      </c>
      <c r="G11" s="44" t="s">
        <v>1066</v>
      </c>
      <c r="H11" s="125" t="s">
        <v>1067</v>
      </c>
      <c r="I11" s="45"/>
      <c r="J11" s="44" t="s">
        <v>1509</v>
      </c>
      <c r="K11" s="44" t="s">
        <v>359</v>
      </c>
      <c r="L11" s="44" t="s">
        <v>1510</v>
      </c>
      <c r="M11" s="44" t="s">
        <v>1070</v>
      </c>
      <c r="N11" s="44">
        <v>33141</v>
      </c>
      <c r="O11" s="44" t="s">
        <v>1071</v>
      </c>
      <c r="P11" s="45"/>
      <c r="Q11" s="44" t="s">
        <v>1117</v>
      </c>
      <c r="R11" s="44" t="s">
        <v>1118</v>
      </c>
      <c r="S11" s="44" t="s">
        <v>5</v>
      </c>
      <c r="T11" s="44" t="s">
        <v>37</v>
      </c>
      <c r="U11" s="45"/>
      <c r="V11" s="44" t="s">
        <v>1511</v>
      </c>
      <c r="W11" s="44">
        <v>956000012578447</v>
      </c>
      <c r="X11" s="44" t="s">
        <v>359</v>
      </c>
      <c r="Y11" s="46" t="s">
        <v>359</v>
      </c>
      <c r="Z11" s="44" t="s">
        <v>1119</v>
      </c>
      <c r="AA11" s="44" t="s">
        <v>1120</v>
      </c>
      <c r="AB11" s="44" t="s">
        <v>1512</v>
      </c>
      <c r="AC11" s="44" t="s">
        <v>1512</v>
      </c>
      <c r="AD11" s="45"/>
      <c r="AE11" s="45"/>
      <c r="AF11" s="68" t="str">
        <f>HYPERLINK("https://drive.google.com/open?id=1aAYqy6AXvOEXisJqG7oI34yxzoskCqcq","Transakce_2000006828944121.pdf")</f>
        <v>Transakce_2000006828944121.pdf</v>
      </c>
      <c r="AG11" s="45"/>
      <c r="AH11" s="45"/>
      <c r="AI11" s="68" t="str">
        <f>HYPERLINK("https://drive.google.com/open?id=1LDtILInz6q6UWjDel5lnOflz43LV-36u","Ikon.jpg")</f>
        <v>Ikon.jpg</v>
      </c>
      <c r="AJ11" s="45"/>
      <c r="AK11" s="45"/>
      <c r="AL11" s="44" t="s">
        <v>4</v>
      </c>
      <c r="AM11" s="45"/>
      <c r="AN11" s="44" t="s">
        <v>1121</v>
      </c>
      <c r="AO11" s="44" t="s">
        <v>359</v>
      </c>
      <c r="AP11" s="44" t="s">
        <v>359</v>
      </c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</row>
    <row r="12" spans="1:63" ht="23.25" customHeight="1">
      <c r="A12" s="42">
        <v>146</v>
      </c>
      <c r="B12" s="32">
        <v>47</v>
      </c>
      <c r="C12" s="44">
        <v>1</v>
      </c>
      <c r="D12" s="44" t="s">
        <v>95</v>
      </c>
      <c r="E12" s="44" t="s">
        <v>205</v>
      </c>
      <c r="F12" s="44" t="s">
        <v>55</v>
      </c>
      <c r="G12" s="44" t="s">
        <v>1066</v>
      </c>
      <c r="H12" s="125" t="s">
        <v>1067</v>
      </c>
      <c r="I12" s="45"/>
      <c r="J12" s="44" t="s">
        <v>1509</v>
      </c>
      <c r="K12" s="44" t="s">
        <v>359</v>
      </c>
      <c r="L12" s="44" t="s">
        <v>1510</v>
      </c>
      <c r="M12" s="44" t="s">
        <v>1070</v>
      </c>
      <c r="N12" s="44">
        <v>33141</v>
      </c>
      <c r="O12" s="44" t="s">
        <v>1071</v>
      </c>
      <c r="P12" s="45"/>
      <c r="Q12" s="44" t="s">
        <v>1124</v>
      </c>
      <c r="R12" s="44" t="s">
        <v>1118</v>
      </c>
      <c r="S12" s="44" t="s">
        <v>5</v>
      </c>
      <c r="T12" s="44" t="s">
        <v>37</v>
      </c>
      <c r="U12" s="45"/>
      <c r="V12" s="44" t="s">
        <v>1511</v>
      </c>
      <c r="W12" s="44">
        <v>956000012596951</v>
      </c>
      <c r="X12" s="44" t="s">
        <v>359</v>
      </c>
      <c r="Y12" s="46" t="s">
        <v>359</v>
      </c>
      <c r="Z12" s="44" t="s">
        <v>1119</v>
      </c>
      <c r="AA12" s="44" t="s">
        <v>1120</v>
      </c>
      <c r="AB12" s="44" t="s">
        <v>1512</v>
      </c>
      <c r="AC12" s="44" t="s">
        <v>1512</v>
      </c>
      <c r="AD12" s="45"/>
      <c r="AE12" s="45"/>
      <c r="AF12" s="68" t="str">
        <f>HYPERLINK("https://drive.google.com/open?id=12PljWxB5pxivG7z42qNbTRlJaYYKPdHZ","Transakce_2000006828944121.pdf")</f>
        <v>Transakce_2000006828944121.pdf</v>
      </c>
      <c r="AG12" s="45"/>
      <c r="AH12" s="45"/>
      <c r="AI12" s="68" t="str">
        <f>HYPERLINK("https://drive.google.com/open?id=1Pd6Y2g35tnnwyoREpYWGh6tlzOGCr2MW","1627842591911.jpg")</f>
        <v>1627842591911.jpg</v>
      </c>
      <c r="AJ12" s="45"/>
      <c r="AK12" s="45"/>
      <c r="AL12" s="44" t="s">
        <v>4</v>
      </c>
      <c r="AM12" s="45"/>
      <c r="AN12" s="44" t="s">
        <v>1125</v>
      </c>
      <c r="AO12" s="44" t="s">
        <v>359</v>
      </c>
      <c r="AP12" s="44" t="s">
        <v>359</v>
      </c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</row>
    <row r="13" spans="1:63" ht="23.25" customHeight="1">
      <c r="A13" s="119">
        <v>38</v>
      </c>
      <c r="B13" s="32">
        <v>29</v>
      </c>
      <c r="C13" s="64">
        <v>1</v>
      </c>
      <c r="D13" s="64" t="s">
        <v>54</v>
      </c>
      <c r="E13" s="64" t="s">
        <v>205</v>
      </c>
      <c r="F13" s="64" t="s">
        <v>352</v>
      </c>
      <c r="G13" s="64" t="s">
        <v>363</v>
      </c>
      <c r="H13" s="64">
        <v>605466093</v>
      </c>
      <c r="I13" s="86"/>
      <c r="J13" s="64" t="s">
        <v>354</v>
      </c>
      <c r="K13" s="64">
        <v>69</v>
      </c>
      <c r="L13" s="64" t="s">
        <v>355</v>
      </c>
      <c r="M13" s="64" t="s">
        <v>11</v>
      </c>
      <c r="N13" s="64">
        <v>79401</v>
      </c>
      <c r="O13" s="64" t="s">
        <v>356</v>
      </c>
      <c r="P13" s="86"/>
      <c r="Q13" s="64" t="s">
        <v>375</v>
      </c>
      <c r="R13" s="64" t="s">
        <v>358</v>
      </c>
      <c r="S13" s="64" t="s">
        <v>5</v>
      </c>
      <c r="T13" s="64" t="s">
        <v>37</v>
      </c>
      <c r="U13" s="86"/>
      <c r="V13" s="64" t="s">
        <v>1632</v>
      </c>
      <c r="W13" s="64">
        <v>68526</v>
      </c>
      <c r="X13" s="64" t="s">
        <v>376</v>
      </c>
      <c r="Y13" s="65" t="s">
        <v>377</v>
      </c>
      <c r="Z13" s="64" t="s">
        <v>378</v>
      </c>
      <c r="AA13" s="64" t="s">
        <v>379</v>
      </c>
      <c r="AB13" s="64" t="s">
        <v>1633</v>
      </c>
      <c r="AC13" s="81" t="s">
        <v>1633</v>
      </c>
      <c r="AD13" s="86"/>
      <c r="AE13" s="86"/>
      <c r="AF13" s="87" t="str">
        <f>HYPERLINK("https://drive.google.com/open?id=18auMbrYTvbbdrBXLc2smUtXXOyj_D2CV","Potvrzeni_o_platbe_RBCZ_20210721_0000.pdf")</f>
        <v>Potvrzeni_o_platbe_RBCZ_20210721_0000.pdf</v>
      </c>
      <c r="AG13" s="87" t="str">
        <f>HYPERLINK("https://drive.google.com/open?id=1v20_rS9NAuHHESRIcviM6mLNwpQzIoCr","184157471_323242655904558_6504414713627675612_n.jpg")</f>
        <v>184157471_323242655904558_6504414713627675612_n.jpg</v>
      </c>
      <c r="AH13" s="87" t="str">
        <f>HYPERLINK("https://drive.google.com/open?id=1hw8HgFtX7gl8EY0tvkpRNoNfJc3LEeWD","184164194_512202189938348_2030505151189963800_n.jpg")</f>
        <v>184164194_512202189938348_2030505151189963800_n.jpg</v>
      </c>
      <c r="AI13" s="87" t="str">
        <f>HYPERLINK("https://drive.google.com/open?id=1MegYgSFugz1IyoHz5AWFbmCZWtY68JNG","Rony PSPP.png")</f>
        <v>Rony PSPP.png</v>
      </c>
      <c r="AJ13" s="87" t="str">
        <f>HYPERLINK("https://drive.google.com/open?id=1g9RR9JxdLbkyNyE5Zjpctlf85Ubub-lB","Rony ZSPP.png")</f>
        <v>Rony ZSPP.png</v>
      </c>
      <c r="AK13" s="87" t="str">
        <f>HYPERLINK("https://drive.google.com/open?id=1sPrrm7w4DaNIr4ft-sj2RqQDY-1YHB3Y","Potvrzeni_o_platbe_RBCZ_20201030_0000.pdf")</f>
        <v>Potvrzeni_o_platbe_RBCZ_20201030_0000.pdf</v>
      </c>
      <c r="AL13" s="64" t="s">
        <v>4</v>
      </c>
      <c r="AM13" s="86"/>
      <c r="AN13" s="64" t="s">
        <v>380</v>
      </c>
      <c r="AO13" s="64" t="s">
        <v>33</v>
      </c>
      <c r="AP13" s="64" t="s">
        <v>25</v>
      </c>
      <c r="AQ13" s="86"/>
      <c r="AR13" s="86"/>
      <c r="AS13" s="86"/>
      <c r="AT13" s="64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64"/>
      <c r="BH13" s="64"/>
      <c r="BI13" s="64"/>
      <c r="BJ13" s="64"/>
      <c r="BK13" s="64"/>
    </row>
    <row r="14" spans="1:63" ht="23.25" customHeight="1">
      <c r="A14" s="119">
        <v>37</v>
      </c>
      <c r="B14" s="32">
        <v>68</v>
      </c>
      <c r="C14" s="64">
        <v>1</v>
      </c>
      <c r="D14" s="64" t="s">
        <v>190</v>
      </c>
      <c r="E14" s="64" t="s">
        <v>191</v>
      </c>
      <c r="F14" s="64" t="s">
        <v>352</v>
      </c>
      <c r="G14" s="64" t="s">
        <v>363</v>
      </c>
      <c r="H14" s="64">
        <v>605466093</v>
      </c>
      <c r="I14" s="86"/>
      <c r="J14" s="64" t="s">
        <v>354</v>
      </c>
      <c r="K14" s="64">
        <v>69</v>
      </c>
      <c r="L14" s="64" t="s">
        <v>355</v>
      </c>
      <c r="M14" s="64" t="s">
        <v>11</v>
      </c>
      <c r="N14" s="64">
        <v>79401</v>
      </c>
      <c r="O14" s="64" t="s">
        <v>356</v>
      </c>
      <c r="P14" s="86"/>
      <c r="Q14" s="64" t="s">
        <v>368</v>
      </c>
      <c r="R14" s="64" t="s">
        <v>369</v>
      </c>
      <c r="S14" s="64" t="s">
        <v>5</v>
      </c>
      <c r="T14" s="64" t="s">
        <v>24</v>
      </c>
      <c r="U14" s="86"/>
      <c r="V14" s="64" t="s">
        <v>1697</v>
      </c>
      <c r="W14" s="64">
        <v>981189900020626</v>
      </c>
      <c r="X14" s="64" t="s">
        <v>370</v>
      </c>
      <c r="Y14" s="65" t="s">
        <v>371</v>
      </c>
      <c r="Z14" s="64" t="s">
        <v>372</v>
      </c>
      <c r="AA14" s="64" t="s">
        <v>373</v>
      </c>
      <c r="AB14" s="64" t="s">
        <v>1698</v>
      </c>
      <c r="AC14" s="64" t="s">
        <v>1633</v>
      </c>
      <c r="AD14" s="86"/>
      <c r="AE14" s="86"/>
      <c r="AF14" s="87" t="str">
        <f>HYPERLINK("https://drive.google.com/open?id=1XS-vdzWb7sOQWrLXDv4jNQrLfekapQGv","Potvrzeni_o_platbe_RBCZ_20210721_0000.pdf")</f>
        <v>Potvrzeni_o_platbe_RBCZ_20210721_0000.pdf</v>
      </c>
      <c r="AG14" s="87" t="str">
        <f>HYPERLINK("https://drive.google.com/open?id=1IGzn8H1OlkHthNVsvkR3Q3plbCaIlvq7","IMG_20210721_110127_edit_1273297867576534.jpg")</f>
        <v>IMG_20210721_110127_edit_1273297867576534.jpg</v>
      </c>
      <c r="AH14" s="86"/>
      <c r="AI14" s="87" t="str">
        <f>HYPERLINK("https://drive.google.com/open?id=1hb7-yUPILMVS5f57ruZbs7O7fKsYj7zi","IMG_20210721_110127_edit_1273297867576534.jpg")</f>
        <v>IMG_20210721_110127_edit_1273297867576534.jpg</v>
      </c>
      <c r="AJ14" s="87" t="str">
        <f>HYPERLINK("https://drive.google.com/open?id=1n0VYZaBf2feYRkzWsP4E0W8ydCslnlCD","IMG_20210721_110117.jpg")</f>
        <v>IMG_20210721_110117.jpg</v>
      </c>
      <c r="AK14" s="87" t="str">
        <f>HYPERLINK("https://drive.google.com/open?id=1WsK3R4kvR4GgZyso49PcIeehG2l1GVCJ","Potvrzeni_o_platbe_RBCZ_20201030_0000.pdf")</f>
        <v>Potvrzeni_o_platbe_RBCZ_20201030_0000.pdf</v>
      </c>
      <c r="AL14" s="64" t="s">
        <v>4</v>
      </c>
      <c r="AM14" s="86"/>
      <c r="AN14" s="64" t="s">
        <v>374</v>
      </c>
      <c r="AO14" s="64" t="s">
        <v>113</v>
      </c>
      <c r="AP14" s="64" t="s">
        <v>955</v>
      </c>
      <c r="AQ14" s="86"/>
      <c r="AR14" s="86"/>
      <c r="AS14" s="86"/>
      <c r="AT14" s="64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64"/>
      <c r="BH14" s="64"/>
      <c r="BI14" s="64"/>
      <c r="BJ14" s="64"/>
      <c r="BK14" s="64"/>
    </row>
    <row r="15" spans="1:63" ht="23.25" customHeight="1">
      <c r="A15" s="31">
        <v>79</v>
      </c>
      <c r="B15" s="32">
        <v>58</v>
      </c>
      <c r="C15" s="33">
        <v>1</v>
      </c>
      <c r="D15" s="33" t="s">
        <v>263</v>
      </c>
      <c r="E15" s="33" t="s">
        <v>191</v>
      </c>
      <c r="F15" s="33" t="s">
        <v>10</v>
      </c>
      <c r="G15" s="33" t="s">
        <v>657</v>
      </c>
      <c r="H15" s="33">
        <v>603505236</v>
      </c>
      <c r="I15" s="34"/>
      <c r="J15" s="33" t="s">
        <v>658</v>
      </c>
      <c r="K15" s="33">
        <v>670</v>
      </c>
      <c r="L15" s="33" t="s">
        <v>658</v>
      </c>
      <c r="M15" s="33" t="s">
        <v>1</v>
      </c>
      <c r="N15" s="33">
        <v>73943</v>
      </c>
      <c r="O15" s="33" t="s">
        <v>659</v>
      </c>
      <c r="P15" s="34"/>
      <c r="Q15" s="33" t="s">
        <v>674</v>
      </c>
      <c r="R15" s="33" t="s">
        <v>661</v>
      </c>
      <c r="S15" s="33" t="s">
        <v>5</v>
      </c>
      <c r="T15" s="33" t="s">
        <v>255</v>
      </c>
      <c r="U15" s="34"/>
      <c r="V15" s="33" t="s">
        <v>1410</v>
      </c>
      <c r="W15" s="33">
        <v>941000025000125</v>
      </c>
      <c r="X15" s="33" t="s">
        <v>359</v>
      </c>
      <c r="Y15" s="35" t="s">
        <v>359</v>
      </c>
      <c r="Z15" s="33" t="s">
        <v>662</v>
      </c>
      <c r="AA15" s="33" t="s">
        <v>669</v>
      </c>
      <c r="AB15" s="33" t="s">
        <v>759</v>
      </c>
      <c r="AC15" s="33" t="s">
        <v>759</v>
      </c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3" t="s">
        <v>675</v>
      </c>
      <c r="AO15" s="33" t="s">
        <v>359</v>
      </c>
      <c r="AP15" s="33" t="s">
        <v>359</v>
      </c>
      <c r="AQ15" s="34"/>
      <c r="AR15" s="34"/>
      <c r="AS15" s="34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3"/>
      <c r="BH15" s="37"/>
      <c r="BI15" s="37"/>
      <c r="BJ15" s="37"/>
      <c r="BK15" s="37"/>
    </row>
    <row r="16" spans="1:63" ht="23.25" customHeight="1">
      <c r="A16" s="31">
        <v>153</v>
      </c>
      <c r="B16" s="32">
        <v>72</v>
      </c>
      <c r="C16" s="51"/>
      <c r="D16" s="48" t="s">
        <v>144</v>
      </c>
      <c r="E16" s="48" t="s">
        <v>205</v>
      </c>
      <c r="F16" s="48" t="s">
        <v>192</v>
      </c>
      <c r="G16" s="48" t="s">
        <v>1176</v>
      </c>
      <c r="H16" s="48">
        <v>774265713</v>
      </c>
      <c r="I16" s="51"/>
      <c r="J16" s="48" t="s">
        <v>1177</v>
      </c>
      <c r="K16" s="48">
        <v>145</v>
      </c>
      <c r="L16" s="48" t="s">
        <v>1177</v>
      </c>
      <c r="M16" s="51"/>
      <c r="N16" s="48">
        <v>33040</v>
      </c>
      <c r="O16" s="51"/>
      <c r="P16" s="51"/>
      <c r="Q16" s="48" t="s">
        <v>1178</v>
      </c>
      <c r="R16" s="48" t="s">
        <v>1179</v>
      </c>
      <c r="S16" s="48" t="s">
        <v>5</v>
      </c>
      <c r="T16" s="48" t="s">
        <v>704</v>
      </c>
      <c r="U16" s="51"/>
      <c r="V16" s="48" t="s">
        <v>1707</v>
      </c>
      <c r="W16" s="48" t="s">
        <v>1180</v>
      </c>
      <c r="X16" s="48" t="s">
        <v>127</v>
      </c>
      <c r="Y16" s="52" t="s">
        <v>359</v>
      </c>
      <c r="Z16" s="48" t="s">
        <v>1181</v>
      </c>
      <c r="AA16" s="48" t="s">
        <v>1182</v>
      </c>
      <c r="AB16" s="48" t="s">
        <v>1183</v>
      </c>
      <c r="AC16" s="48" t="s">
        <v>1184</v>
      </c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48" t="s">
        <v>1185</v>
      </c>
      <c r="AO16" s="184">
        <v>44197</v>
      </c>
      <c r="AP16" s="48" t="s">
        <v>25</v>
      </c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</row>
    <row r="17" spans="1:63" ht="23.25" customHeight="1">
      <c r="A17" s="31">
        <v>121</v>
      </c>
      <c r="B17" s="32">
        <v>14</v>
      </c>
      <c r="C17" s="48">
        <v>1</v>
      </c>
      <c r="D17" s="48" t="s">
        <v>158</v>
      </c>
      <c r="E17" s="48" t="s">
        <v>191</v>
      </c>
      <c r="F17" s="48" t="s">
        <v>16</v>
      </c>
      <c r="G17" s="48" t="s">
        <v>945</v>
      </c>
      <c r="H17" s="48">
        <v>91624231879</v>
      </c>
      <c r="I17" s="51"/>
      <c r="J17" s="48" t="s">
        <v>946</v>
      </c>
      <c r="K17" s="48">
        <v>42</v>
      </c>
      <c r="L17" s="48" t="s">
        <v>947</v>
      </c>
      <c r="M17" s="48" t="s">
        <v>948</v>
      </c>
      <c r="N17" s="51"/>
      <c r="O17" s="48" t="s">
        <v>949</v>
      </c>
      <c r="P17" s="51"/>
      <c r="Q17" s="48" t="s">
        <v>950</v>
      </c>
      <c r="R17" s="48" t="s">
        <v>951</v>
      </c>
      <c r="S17" s="48" t="s">
        <v>5</v>
      </c>
      <c r="T17" s="48" t="s">
        <v>255</v>
      </c>
      <c r="U17" s="51"/>
      <c r="V17" s="48" t="s">
        <v>1603</v>
      </c>
      <c r="W17" s="48">
        <v>981189900077591</v>
      </c>
      <c r="X17" s="48" t="s">
        <v>3</v>
      </c>
      <c r="Y17" s="52" t="s">
        <v>952</v>
      </c>
      <c r="Z17" s="48" t="s">
        <v>953</v>
      </c>
      <c r="AA17" s="48" t="s">
        <v>317</v>
      </c>
      <c r="AB17" s="48" t="s">
        <v>1604</v>
      </c>
      <c r="AC17" s="48" t="s">
        <v>1547</v>
      </c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48" t="s">
        <v>954</v>
      </c>
      <c r="AO17" s="48" t="s">
        <v>246</v>
      </c>
      <c r="AP17" s="48" t="s">
        <v>955</v>
      </c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</row>
    <row r="18" spans="1:63" ht="23.25" customHeight="1">
      <c r="A18" s="31">
        <v>122</v>
      </c>
      <c r="B18" s="32">
        <v>35</v>
      </c>
      <c r="C18" s="48">
        <v>1</v>
      </c>
      <c r="D18" s="48" t="s">
        <v>170</v>
      </c>
      <c r="E18" s="48" t="s">
        <v>191</v>
      </c>
      <c r="F18" s="48" t="s">
        <v>16</v>
      </c>
      <c r="G18" s="48" t="s">
        <v>945</v>
      </c>
      <c r="H18" s="48">
        <v>91624231879</v>
      </c>
      <c r="I18" s="51"/>
      <c r="J18" s="48" t="s">
        <v>946</v>
      </c>
      <c r="K18" s="48">
        <v>42</v>
      </c>
      <c r="L18" s="48" t="s">
        <v>947</v>
      </c>
      <c r="M18" s="48" t="s">
        <v>948</v>
      </c>
      <c r="N18" s="51"/>
      <c r="O18" s="48" t="s">
        <v>949</v>
      </c>
      <c r="P18" s="51"/>
      <c r="Q18" s="48" t="s">
        <v>956</v>
      </c>
      <c r="R18" s="48" t="s">
        <v>935</v>
      </c>
      <c r="S18" s="48" t="s">
        <v>5</v>
      </c>
      <c r="T18" s="48" t="s">
        <v>255</v>
      </c>
      <c r="U18" s="51"/>
      <c r="V18" s="48" t="s">
        <v>1546</v>
      </c>
      <c r="W18" s="48">
        <v>981189900115079</v>
      </c>
      <c r="X18" s="48" t="s">
        <v>957</v>
      </c>
      <c r="Y18" s="52" t="s">
        <v>359</v>
      </c>
      <c r="Z18" s="48" t="s">
        <v>958</v>
      </c>
      <c r="AA18" s="48" t="s">
        <v>593</v>
      </c>
      <c r="AB18" s="48" t="s">
        <v>939</v>
      </c>
      <c r="AC18" s="48" t="s">
        <v>1547</v>
      </c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48" t="s">
        <v>959</v>
      </c>
      <c r="AO18" s="48" t="s">
        <v>246</v>
      </c>
      <c r="AP18" s="48" t="s">
        <v>246</v>
      </c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</row>
    <row r="19" spans="1:63" ht="23.25" customHeight="1">
      <c r="A19" s="31">
        <v>65</v>
      </c>
      <c r="B19" s="32">
        <v>33</v>
      </c>
      <c r="C19" s="64">
        <v>1</v>
      </c>
      <c r="D19" s="64" t="s">
        <v>42</v>
      </c>
      <c r="E19" s="64" t="s">
        <v>191</v>
      </c>
      <c r="F19" s="64" t="s">
        <v>507</v>
      </c>
      <c r="G19" s="64" t="s">
        <v>575</v>
      </c>
      <c r="H19" s="65" t="s">
        <v>576</v>
      </c>
      <c r="I19" s="86"/>
      <c r="J19" s="64" t="s">
        <v>577</v>
      </c>
      <c r="K19" s="64">
        <v>62</v>
      </c>
      <c r="L19" s="64" t="s">
        <v>578</v>
      </c>
      <c r="M19" s="64" t="s">
        <v>579</v>
      </c>
      <c r="N19" s="64">
        <v>77900</v>
      </c>
      <c r="O19" s="64" t="s">
        <v>580</v>
      </c>
      <c r="P19" s="86"/>
      <c r="Q19" s="64" t="s">
        <v>581</v>
      </c>
      <c r="R19" s="64" t="s">
        <v>582</v>
      </c>
      <c r="S19" s="64" t="s">
        <v>5</v>
      </c>
      <c r="T19" s="64" t="s">
        <v>24</v>
      </c>
      <c r="U19" s="86"/>
      <c r="V19" s="64" t="s">
        <v>1539</v>
      </c>
      <c r="W19" s="64">
        <v>203164000056217</v>
      </c>
      <c r="X19" s="64" t="s">
        <v>1540</v>
      </c>
      <c r="Y19" s="65" t="s">
        <v>359</v>
      </c>
      <c r="Z19" s="64" t="s">
        <v>583</v>
      </c>
      <c r="AA19" s="64" t="s">
        <v>584</v>
      </c>
      <c r="AB19" s="64" t="s">
        <v>1533</v>
      </c>
      <c r="AC19" s="64" t="s">
        <v>1541</v>
      </c>
      <c r="AD19" s="86"/>
      <c r="AE19" s="86"/>
      <c r="AF19" s="87" t="str">
        <f>HYPERLINK("https://drive.google.com/open?id=1AXeEVmbvZ5rv0l6rxzMPxhzD2QN6pgE6","received_408154383952223.jpeg")</f>
        <v>received_408154383952223.jpeg</v>
      </c>
      <c r="AG19" s="86"/>
      <c r="AH19" s="86"/>
      <c r="AI19" s="87" t="str">
        <f>HYPERLINK("https://drive.google.com/open?id=1CFagcsSW9PoKarYsK6J_QjQfZ47jxWFk","IMG-20210724-WA0001.jpg")</f>
        <v>IMG-20210724-WA0001.jpg</v>
      </c>
      <c r="AJ19" s="87" t="str">
        <f>HYPERLINK("https://drive.google.com/open?id=1CsOT2o2WcRzUKX19TnDudQw-NASMnJ9d","IMG-20210724-WA0000.jpg")</f>
        <v>IMG-20210724-WA0000.jpg</v>
      </c>
      <c r="AK19" s="87" t="str">
        <f>HYPERLINK("https://drive.google.com/open?id=1qFc2hUzbFvnI9t0jiAxkQyo0q6_us6eM","IMG-20210724-WA0002.jpg")</f>
        <v>IMG-20210724-WA0002.jpg</v>
      </c>
      <c r="AL19" s="64" t="s">
        <v>4</v>
      </c>
      <c r="AM19" s="86"/>
      <c r="AN19" s="64" t="s">
        <v>1542</v>
      </c>
      <c r="AO19" s="64" t="s">
        <v>25</v>
      </c>
      <c r="AP19" s="64" t="s">
        <v>25</v>
      </c>
      <c r="AQ19" s="86"/>
      <c r="AR19" s="86"/>
      <c r="AS19" s="86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64"/>
      <c r="BH19" s="89"/>
      <c r="BI19" s="89"/>
      <c r="BJ19" s="89"/>
      <c r="BK19" s="89"/>
    </row>
    <row r="20" spans="1:63" ht="23.25" customHeight="1">
      <c r="A20" s="119">
        <v>32</v>
      </c>
      <c r="B20" s="32">
        <v>38</v>
      </c>
      <c r="C20" s="33">
        <v>1</v>
      </c>
      <c r="D20" s="33" t="s">
        <v>170</v>
      </c>
      <c r="E20" s="33" t="s">
        <v>191</v>
      </c>
      <c r="F20" s="33" t="s">
        <v>322</v>
      </c>
      <c r="G20" s="33" t="s">
        <v>323</v>
      </c>
      <c r="H20" s="33">
        <v>730643942</v>
      </c>
      <c r="I20" s="34"/>
      <c r="J20" s="33" t="s">
        <v>324</v>
      </c>
      <c r="K20" s="33">
        <v>964</v>
      </c>
      <c r="L20" s="33" t="s">
        <v>325</v>
      </c>
      <c r="M20" s="33" t="s">
        <v>17</v>
      </c>
      <c r="N20" s="33">
        <v>40747</v>
      </c>
      <c r="O20" s="33" t="s">
        <v>326</v>
      </c>
      <c r="P20" s="34"/>
      <c r="Q20" s="33" t="s">
        <v>327</v>
      </c>
      <c r="R20" s="33" t="s">
        <v>200</v>
      </c>
      <c r="S20" s="33" t="s">
        <v>5</v>
      </c>
      <c r="T20" s="33" t="s">
        <v>255</v>
      </c>
      <c r="U20" s="34"/>
      <c r="V20" s="33" t="s">
        <v>1556</v>
      </c>
      <c r="W20" s="33" t="s">
        <v>328</v>
      </c>
      <c r="X20" s="33" t="s">
        <v>359</v>
      </c>
      <c r="Y20" s="35" t="s">
        <v>359</v>
      </c>
      <c r="Z20" s="33" t="s">
        <v>329</v>
      </c>
      <c r="AA20" s="33" t="s">
        <v>330</v>
      </c>
      <c r="AB20" s="33" t="s">
        <v>1495</v>
      </c>
      <c r="AC20" s="33" t="s">
        <v>1557</v>
      </c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3"/>
      <c r="BH20" s="33"/>
      <c r="BI20" s="33"/>
      <c r="BJ20" s="33"/>
      <c r="BK20" s="33"/>
    </row>
    <row r="21" spans="1:63" ht="23.25" customHeight="1">
      <c r="A21" s="62">
        <v>1</v>
      </c>
      <c r="B21" s="32">
        <v>37</v>
      </c>
      <c r="C21" s="64">
        <v>1</v>
      </c>
      <c r="D21" s="64" t="s">
        <v>42</v>
      </c>
      <c r="E21" s="64"/>
      <c r="F21" s="64" t="s">
        <v>43</v>
      </c>
      <c r="G21" s="64" t="s">
        <v>44</v>
      </c>
      <c r="H21" s="76" t="s">
        <v>45</v>
      </c>
      <c r="I21" s="64"/>
      <c r="J21" s="64" t="s">
        <v>46</v>
      </c>
      <c r="K21" s="64">
        <v>770</v>
      </c>
      <c r="L21" s="64" t="s">
        <v>47</v>
      </c>
      <c r="M21" s="64" t="s">
        <v>11</v>
      </c>
      <c r="N21" s="64">
        <v>47301</v>
      </c>
      <c r="O21" s="64" t="s">
        <v>48</v>
      </c>
      <c r="P21" s="64"/>
      <c r="Q21" s="64" t="s">
        <v>49</v>
      </c>
      <c r="R21" s="64" t="s">
        <v>50</v>
      </c>
      <c r="S21" s="64" t="s">
        <v>5</v>
      </c>
      <c r="T21" s="64" t="s">
        <v>24</v>
      </c>
      <c r="U21" s="64"/>
      <c r="V21" s="64" t="s">
        <v>1552</v>
      </c>
      <c r="W21" s="64">
        <v>981189900110129</v>
      </c>
      <c r="X21" s="64" t="s">
        <v>1553</v>
      </c>
      <c r="Y21" s="65" t="s">
        <v>359</v>
      </c>
      <c r="Z21" s="64" t="s">
        <v>51</v>
      </c>
      <c r="AA21" s="64" t="s">
        <v>52</v>
      </c>
      <c r="AB21" s="64" t="s">
        <v>1554</v>
      </c>
      <c r="AC21" s="64" t="s">
        <v>1555</v>
      </c>
      <c r="AD21" s="64"/>
      <c r="AE21" s="64"/>
      <c r="AF21" s="79" t="str">
        <f>HYPERLINK("https://drive.google.com/open?id=1BOYuesuVNvPgoMG-uSb5t0_bJpZCUeGa","Potvrzeni_o_provedene_platbe_17.06.2021_01 56.pdf")</f>
        <v>Potvrzeni_o_provedene_platbe_17.06.2021_01 56.pdf</v>
      </c>
      <c r="AG21" s="79" t="str">
        <f>HYPERLINK("https://drive.google.com/open?id=1DMrshs-SV7cs3bToXukCdOn0o8lKbelW","VK_Vello_Eichenplatz.pdf")</f>
        <v>VK_Vello_Eichenplatz.pdf</v>
      </c>
      <c r="AH21" s="64"/>
      <c r="AI21" s="79" t="str">
        <f>HYPERLINK("https://drive.google.com/open?id=1x0lA2PX2iKsYM9q4Nvkqs2P4thmQsSV2","vello rodokmen_ex.pdf")</f>
        <v>vello rodokmen_ex.pdf</v>
      </c>
      <c r="AJ21" s="79" t="str">
        <f>HYPERLINK("https://drive.google.com/open?id=1j4FZi-vqRXUROfVEf44ab2pwCLV1IH3k","Vello rodokmen.pdf")</f>
        <v>Vello rodokmen.pdf</v>
      </c>
      <c r="AK21" s="79" t="str">
        <f>HYPERLINK("https://drive.google.com/open?id=1nmCK2idqhztJPiEqMI6SN4OU0gkLs_tt","vello_rod_rtg.pdf")</f>
        <v>vello_rod_rtg.pdf</v>
      </c>
      <c r="AL21" s="64" t="s">
        <v>4</v>
      </c>
      <c r="AM21" s="64"/>
      <c r="AN21" s="64" t="s">
        <v>53</v>
      </c>
      <c r="AO21" s="64" t="s">
        <v>41</v>
      </c>
      <c r="AP21" s="64" t="s">
        <v>25</v>
      </c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</row>
    <row r="22" spans="1:63" ht="63.75">
      <c r="A22" s="38">
        <v>16</v>
      </c>
      <c r="B22" s="32">
        <v>67</v>
      </c>
      <c r="C22" s="193">
        <v>1</v>
      </c>
      <c r="D22" s="193" t="s">
        <v>190</v>
      </c>
      <c r="E22" s="193" t="s">
        <v>191</v>
      </c>
      <c r="F22" s="193" t="s">
        <v>192</v>
      </c>
      <c r="G22" s="193" t="s">
        <v>193</v>
      </c>
      <c r="H22" s="194" t="s">
        <v>194</v>
      </c>
      <c r="I22" s="193"/>
      <c r="J22" s="193" t="s">
        <v>195</v>
      </c>
      <c r="K22" s="193">
        <v>22</v>
      </c>
      <c r="L22" s="193" t="s">
        <v>196</v>
      </c>
      <c r="M22" s="193" t="s">
        <v>197</v>
      </c>
      <c r="N22" s="193">
        <v>37001</v>
      </c>
      <c r="O22" s="193" t="s">
        <v>198</v>
      </c>
      <c r="P22" s="193"/>
      <c r="Q22" s="193" t="s">
        <v>199</v>
      </c>
      <c r="R22" s="193" t="s">
        <v>200</v>
      </c>
      <c r="S22" s="193" t="s">
        <v>5</v>
      </c>
      <c r="T22" s="193" t="s">
        <v>24</v>
      </c>
      <c r="U22" s="193"/>
      <c r="V22" s="193" t="s">
        <v>1695</v>
      </c>
      <c r="W22" s="193">
        <v>43127</v>
      </c>
      <c r="X22" s="193" t="s">
        <v>201</v>
      </c>
      <c r="Y22" s="195" t="s">
        <v>122</v>
      </c>
      <c r="Z22" s="193" t="s">
        <v>202</v>
      </c>
      <c r="AA22" s="193" t="s">
        <v>203</v>
      </c>
      <c r="AB22" s="193" t="s">
        <v>1495</v>
      </c>
      <c r="AC22" s="193" t="s">
        <v>1696</v>
      </c>
      <c r="AD22" s="193"/>
      <c r="AE22" s="193"/>
      <c r="AF22" s="196" t="str">
        <f>HYPERLINK("https://drive.google.com/open?id=1_8A5FezzP6rVfw2JqO0wNfCNktrfy76w","brixx platba.pdf")</f>
        <v>brixx platba.pdf</v>
      </c>
      <c r="AG22" s="196" t="str">
        <f>HYPERLINK("https://drive.google.com/open?id=1wa_kMg1Zr72F1jaunMGKuNavnXVBUDMP","brixx.pdf")</f>
        <v>brixx.pdf</v>
      </c>
      <c r="AH22" s="193"/>
      <c r="AI22" s="196" t="str">
        <f>HYPERLINK("https://drive.google.com/open?id=10OKgn-79Yz__JWOhnw9-5mb5GGD_Pe0w","202107121247 (1).pdf")</f>
        <v>202107121247 (1).pdf</v>
      </c>
      <c r="AJ22" s="196" t="str">
        <f>HYPERLINK("https://drive.google.com/open?id=1oViFqzPhGVjbaSOdjFvGRPgzn_Qx3tA4","202107121246 (1).pdf")</f>
        <v>202107121246 (1).pdf</v>
      </c>
      <c r="AK22" s="193"/>
      <c r="AL22" s="193" t="s">
        <v>4</v>
      </c>
      <c r="AM22" s="193"/>
      <c r="AN22" s="193" t="s">
        <v>204</v>
      </c>
      <c r="AO22" s="193" t="s">
        <v>25</v>
      </c>
      <c r="AP22" s="193" t="s">
        <v>25</v>
      </c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</row>
    <row r="23" spans="1:63" ht="63.75">
      <c r="A23" s="197">
        <v>123</v>
      </c>
      <c r="B23" s="32">
        <v>69</v>
      </c>
      <c r="C23" s="198">
        <v>1</v>
      </c>
      <c r="D23" s="198" t="s">
        <v>190</v>
      </c>
      <c r="E23" s="198" t="s">
        <v>191</v>
      </c>
      <c r="F23" s="198" t="s">
        <v>145</v>
      </c>
      <c r="G23" s="198" t="s">
        <v>960</v>
      </c>
      <c r="H23" s="198">
        <v>727854850</v>
      </c>
      <c r="I23" s="199"/>
      <c r="J23" s="198" t="s">
        <v>961</v>
      </c>
      <c r="K23" s="198">
        <v>242</v>
      </c>
      <c r="L23" s="198" t="s">
        <v>962</v>
      </c>
      <c r="M23" s="198" t="s">
        <v>1</v>
      </c>
      <c r="N23" s="198">
        <v>34813</v>
      </c>
      <c r="O23" s="198" t="s">
        <v>963</v>
      </c>
      <c r="P23" s="199"/>
      <c r="Q23" s="198" t="s">
        <v>964</v>
      </c>
      <c r="R23" s="198" t="s">
        <v>965</v>
      </c>
      <c r="S23" s="198" t="s">
        <v>5</v>
      </c>
      <c r="T23" s="198" t="s">
        <v>24</v>
      </c>
      <c r="U23" s="199"/>
      <c r="V23" s="198" t="s">
        <v>1699</v>
      </c>
      <c r="W23" s="198">
        <v>22804</v>
      </c>
      <c r="X23" s="198" t="s">
        <v>966</v>
      </c>
      <c r="Y23" s="200" t="s">
        <v>967</v>
      </c>
      <c r="Z23" s="198" t="s">
        <v>968</v>
      </c>
      <c r="AA23" s="198" t="s">
        <v>969</v>
      </c>
      <c r="AB23" s="198" t="s">
        <v>1431</v>
      </c>
      <c r="AC23" s="198" t="s">
        <v>1700</v>
      </c>
      <c r="AD23" s="199"/>
      <c r="AE23" s="199"/>
      <c r="AF23" s="201" t="str">
        <f>HYPERLINK("https://drive.google.com/open?id=1xjK70jW6oye8QLpwmsypXSb-2PvJRStU","CZ8708000000004021967083_2000006785904464.pdf")</f>
        <v>CZ8708000000004021967083_2000006785904464.pdf</v>
      </c>
      <c r="AG23" s="199"/>
      <c r="AH23" s="201" t="str">
        <f>HYPERLINK("https://drive.google.com/open?id=1Xai7UgRRPjjIis1StvrcjKTNY9__Wq4f","Labo ZK.pdf")</f>
        <v>Labo ZK.pdf</v>
      </c>
      <c r="AI23" s="201" t="str">
        <f>HYPERLINK("https://drive.google.com/open?id=1LNquwzr4IDxTf7nguSD9P74vmXRP42rm","Labo PP.pdf")</f>
        <v>Labo PP.pdf</v>
      </c>
      <c r="AJ23" s="201" t="str">
        <f>HYPERLINK("https://drive.google.com/open?id=1OzTPFYmnLzRIQg9ud1HnrIy3_NfGTgPT","ČKNO.pdf")</f>
        <v>ČKNO.pdf</v>
      </c>
      <c r="AK23" s="199"/>
      <c r="AL23" s="198" t="s">
        <v>4</v>
      </c>
      <c r="AM23" s="199"/>
      <c r="AN23" s="198" t="s">
        <v>1701</v>
      </c>
      <c r="AO23" s="198" t="s">
        <v>25</v>
      </c>
      <c r="AP23" s="198" t="s">
        <v>25</v>
      </c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</row>
    <row r="24" spans="1:63" ht="23.25" customHeight="1">
      <c r="A24" s="31">
        <v>124</v>
      </c>
      <c r="B24" s="32">
        <v>44</v>
      </c>
      <c r="C24" s="48">
        <v>1</v>
      </c>
      <c r="D24" s="48" t="s">
        <v>95</v>
      </c>
      <c r="E24" s="48" t="s">
        <v>205</v>
      </c>
      <c r="F24" s="48" t="s">
        <v>970</v>
      </c>
      <c r="G24" s="48" t="s">
        <v>971</v>
      </c>
      <c r="H24" s="54" t="s">
        <v>972</v>
      </c>
      <c r="I24" s="51"/>
      <c r="J24" s="48" t="s">
        <v>973</v>
      </c>
      <c r="K24" s="48">
        <v>68</v>
      </c>
      <c r="L24" s="48" t="s">
        <v>974</v>
      </c>
      <c r="M24" s="48" t="s">
        <v>11</v>
      </c>
      <c r="N24" s="48" t="s">
        <v>975</v>
      </c>
      <c r="O24" s="48" t="s">
        <v>976</v>
      </c>
      <c r="P24" s="51"/>
      <c r="Q24" s="48" t="s">
        <v>977</v>
      </c>
      <c r="R24" s="48" t="s">
        <v>978</v>
      </c>
      <c r="S24" s="48" t="s">
        <v>5</v>
      </c>
      <c r="T24" s="48" t="s">
        <v>37</v>
      </c>
      <c r="U24" s="51"/>
      <c r="V24" s="48" t="s">
        <v>1504</v>
      </c>
      <c r="W24" s="48">
        <v>956000012178863</v>
      </c>
      <c r="X24" s="48" t="s">
        <v>359</v>
      </c>
      <c r="Y24" s="52" t="s">
        <v>359</v>
      </c>
      <c r="Z24" s="48" t="s">
        <v>979</v>
      </c>
      <c r="AA24" s="48" t="s">
        <v>980</v>
      </c>
      <c r="AB24" s="48" t="s">
        <v>1505</v>
      </c>
      <c r="AC24" s="48" t="s">
        <v>1506</v>
      </c>
      <c r="AD24" s="51"/>
      <c r="AE24" s="51"/>
      <c r="AF24" s="55" t="str">
        <f>HYPERLINK("https://drive.google.com/open?id=1cdjAJot7htKxGTnSqwJrgN_-qefECCkQ","platba výstava.pdf")</f>
        <v>platba výstava.pdf</v>
      </c>
      <c r="AG24" s="55" t="str">
        <f>HYPERLINK("https://drive.google.com/open?id=1672a7WtKm1Rvvrxfy4OLKcQqMXt57srF","Black4.pdf")</f>
        <v>Black4.pdf</v>
      </c>
      <c r="AH24" s="51"/>
      <c r="AI24" s="55" t="str">
        <f>HYPERLINK("https://drive.google.com/open?id=1A1QtEBodLFJYT1zBUum4WgNc-xnh2CMN","black.pdf")</f>
        <v>black.pdf</v>
      </c>
      <c r="AJ24" s="55" t="str">
        <f>HYPERLINK("https://drive.google.com/open?id=1vC2gJmRfJ6OJbuNNDq2AO4feo10iM-CL","black1.pdf")</f>
        <v>black1.pdf</v>
      </c>
      <c r="AK24" s="55" t="str">
        <f>HYPERLINK("https://drive.google.com/open?id=1OupfPJRk467KFx3tNzwZUwZB-fi-vLKH","black3.pdf")</f>
        <v>black3.pdf</v>
      </c>
      <c r="AL24" s="48" t="s">
        <v>4</v>
      </c>
      <c r="AM24" s="51"/>
      <c r="AN24" s="48" t="s">
        <v>981</v>
      </c>
      <c r="AO24" s="48" t="s">
        <v>359</v>
      </c>
      <c r="AP24" s="48" t="s">
        <v>359</v>
      </c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</row>
    <row r="25" spans="1:63" ht="23.25" customHeight="1">
      <c r="A25" s="31">
        <v>84</v>
      </c>
      <c r="B25" s="32">
        <v>7</v>
      </c>
      <c r="C25" s="33">
        <v>1</v>
      </c>
      <c r="D25" s="33" t="s">
        <v>158</v>
      </c>
      <c r="E25" s="33" t="s">
        <v>191</v>
      </c>
      <c r="F25" s="33" t="s">
        <v>23</v>
      </c>
      <c r="G25" s="33" t="s">
        <v>711</v>
      </c>
      <c r="H25" s="33">
        <v>605872976</v>
      </c>
      <c r="I25" s="36"/>
      <c r="J25" s="33" t="s">
        <v>712</v>
      </c>
      <c r="K25" s="33">
        <v>107</v>
      </c>
      <c r="L25" s="33" t="s">
        <v>713</v>
      </c>
      <c r="M25" s="33" t="s">
        <v>1</v>
      </c>
      <c r="N25" s="33">
        <v>78991</v>
      </c>
      <c r="O25" s="33" t="s">
        <v>714</v>
      </c>
      <c r="P25" s="36"/>
      <c r="Q25" s="33" t="s">
        <v>715</v>
      </c>
      <c r="R25" s="33" t="s">
        <v>716</v>
      </c>
      <c r="S25" s="33" t="s">
        <v>717</v>
      </c>
      <c r="T25" s="33" t="s">
        <v>255</v>
      </c>
      <c r="U25" s="36"/>
      <c r="V25" s="33" t="s">
        <v>1594</v>
      </c>
      <c r="W25" s="33">
        <v>981189900095055</v>
      </c>
      <c r="X25" s="33" t="s">
        <v>121</v>
      </c>
      <c r="Y25" s="35" t="s">
        <v>414</v>
      </c>
      <c r="Z25" s="33" t="s">
        <v>718</v>
      </c>
      <c r="AA25" s="33" t="s">
        <v>719</v>
      </c>
      <c r="AB25" s="33" t="s">
        <v>1422</v>
      </c>
      <c r="AC25" s="33" t="s">
        <v>1595</v>
      </c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3" t="s">
        <v>720</v>
      </c>
      <c r="AO25" s="33" t="s">
        <v>246</v>
      </c>
      <c r="AP25" s="33" t="s">
        <v>246</v>
      </c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3"/>
      <c r="BH25" s="37"/>
      <c r="BI25" s="37"/>
      <c r="BJ25" s="37"/>
      <c r="BK25" s="37"/>
    </row>
    <row r="26" spans="1:63" ht="23.25" customHeight="1">
      <c r="A26" s="119">
        <v>40</v>
      </c>
      <c r="B26" s="32">
        <v>52</v>
      </c>
      <c r="C26" s="64">
        <v>1</v>
      </c>
      <c r="D26" s="64" t="s">
        <v>82</v>
      </c>
      <c r="E26" s="64" t="s">
        <v>191</v>
      </c>
      <c r="F26" s="64" t="s">
        <v>100</v>
      </c>
      <c r="G26" s="64" t="s">
        <v>384</v>
      </c>
      <c r="H26" s="64">
        <v>721797462</v>
      </c>
      <c r="I26" s="86"/>
      <c r="J26" s="64" t="s">
        <v>385</v>
      </c>
      <c r="K26" s="64">
        <v>44</v>
      </c>
      <c r="L26" s="64" t="s">
        <v>386</v>
      </c>
      <c r="M26" s="64" t="s">
        <v>1</v>
      </c>
      <c r="N26" s="64">
        <v>38701</v>
      </c>
      <c r="O26" s="64" t="s">
        <v>387</v>
      </c>
      <c r="P26" s="86"/>
      <c r="Q26" s="64" t="s">
        <v>388</v>
      </c>
      <c r="R26" s="64" t="s">
        <v>77</v>
      </c>
      <c r="S26" s="64" t="s">
        <v>5</v>
      </c>
      <c r="T26" s="64" t="s">
        <v>24</v>
      </c>
      <c r="U26" s="86"/>
      <c r="V26" s="64" t="s">
        <v>1462</v>
      </c>
      <c r="W26" s="64" t="s">
        <v>389</v>
      </c>
      <c r="X26" s="64" t="s">
        <v>359</v>
      </c>
      <c r="Y26" s="65" t="s">
        <v>359</v>
      </c>
      <c r="Z26" s="64" t="s">
        <v>390</v>
      </c>
      <c r="AA26" s="64" t="s">
        <v>391</v>
      </c>
      <c r="AB26" s="64" t="s">
        <v>1463</v>
      </c>
      <c r="AC26" s="64" t="s">
        <v>1463</v>
      </c>
      <c r="AD26" s="86"/>
      <c r="AE26" s="86"/>
      <c r="AF26" s="87" t="str">
        <f>HYPERLINK("https://drive.google.com/open?id=1g_x2FcTc1fSJBuPagoNVQ-cuxQ6cNi_L","Platba.jpg")</f>
        <v>Platba.jpg</v>
      </c>
      <c r="AG26" s="87" t="str">
        <f>HYPERLINK("https://drive.google.com/open?id=19Nw-CUtFtKRHuzH6u5s2-EoYeggG0UQp","Rocky - výkonostka.jpg")</f>
        <v>Rocky - výkonostka.jpg</v>
      </c>
      <c r="AH26" s="86"/>
      <c r="AI26" s="87" t="str">
        <f>HYPERLINK("https://drive.google.com/open?id=17PO4Kd7_i8ItaG-C9rlxOPZ7_G90QD4u","Rocky.jpg")</f>
        <v>Rocky.jpg</v>
      </c>
      <c r="AJ26" s="86"/>
      <c r="AK26" s="86"/>
      <c r="AL26" s="64" t="s">
        <v>4</v>
      </c>
      <c r="AM26" s="86"/>
      <c r="AN26" s="64" t="s">
        <v>392</v>
      </c>
      <c r="AO26" s="64" t="s">
        <v>359</v>
      </c>
      <c r="AP26" s="64" t="s">
        <v>359</v>
      </c>
      <c r="AQ26" s="86"/>
      <c r="AR26" s="86"/>
      <c r="AS26" s="86"/>
      <c r="AT26" s="64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64"/>
      <c r="BH26" s="64"/>
      <c r="BI26" s="64"/>
      <c r="BJ26" s="64"/>
      <c r="BK26" s="64"/>
    </row>
    <row r="27" spans="1:63" ht="23.25" customHeight="1">
      <c r="A27" s="42">
        <v>83</v>
      </c>
      <c r="B27" s="32">
        <v>28</v>
      </c>
      <c r="C27" s="44">
        <v>1</v>
      </c>
      <c r="D27" s="44" t="s">
        <v>158</v>
      </c>
      <c r="E27" s="44" t="s">
        <v>205</v>
      </c>
      <c r="F27" s="44" t="s">
        <v>698</v>
      </c>
      <c r="G27" s="44" t="s">
        <v>699</v>
      </c>
      <c r="H27" s="44">
        <v>739696274</v>
      </c>
      <c r="I27" s="50"/>
      <c r="J27" s="50"/>
      <c r="K27" s="44">
        <v>124</v>
      </c>
      <c r="L27" s="44" t="s">
        <v>700</v>
      </c>
      <c r="M27" s="50"/>
      <c r="N27" s="50"/>
      <c r="O27" s="44" t="s">
        <v>701</v>
      </c>
      <c r="P27" s="50"/>
      <c r="Q27" s="44" t="s">
        <v>702</v>
      </c>
      <c r="R27" s="44" t="s">
        <v>703</v>
      </c>
      <c r="S27" s="44" t="s">
        <v>5</v>
      </c>
      <c r="T27" s="44" t="s">
        <v>704</v>
      </c>
      <c r="U27" s="50"/>
      <c r="V27" s="44" t="s">
        <v>1630</v>
      </c>
      <c r="W27" s="44" t="s">
        <v>705</v>
      </c>
      <c r="X27" s="44" t="s">
        <v>706</v>
      </c>
      <c r="Y27" s="46" t="s">
        <v>707</v>
      </c>
      <c r="Z27" s="44" t="s">
        <v>708</v>
      </c>
      <c r="AA27" s="44" t="s">
        <v>709</v>
      </c>
      <c r="AB27" s="44" t="s">
        <v>1576</v>
      </c>
      <c r="AC27" s="44" t="s">
        <v>1631</v>
      </c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44" t="s">
        <v>710</v>
      </c>
      <c r="AO27" s="44">
        <v>0</v>
      </c>
      <c r="AP27" s="44">
        <v>0</v>
      </c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44"/>
      <c r="BH27" s="45"/>
      <c r="BI27" s="45"/>
      <c r="BJ27" s="45"/>
      <c r="BK27" s="45"/>
    </row>
    <row r="28" spans="1:63" ht="23.25" customHeight="1">
      <c r="A28" s="42">
        <v>80</v>
      </c>
      <c r="B28" s="32">
        <v>64</v>
      </c>
      <c r="C28" s="44">
        <v>1</v>
      </c>
      <c r="D28" s="44" t="s">
        <v>263</v>
      </c>
      <c r="E28" s="44" t="s">
        <v>191</v>
      </c>
      <c r="F28" s="44" t="s">
        <v>676</v>
      </c>
      <c r="G28" s="44" t="s">
        <v>677</v>
      </c>
      <c r="H28" s="44">
        <v>777014563</v>
      </c>
      <c r="I28" s="50"/>
      <c r="J28" s="44" t="s">
        <v>678</v>
      </c>
      <c r="K28" s="44">
        <v>413</v>
      </c>
      <c r="L28" s="44" t="s">
        <v>679</v>
      </c>
      <c r="M28" s="44" t="s">
        <v>680</v>
      </c>
      <c r="N28" s="44">
        <v>46804</v>
      </c>
      <c r="O28" s="44" t="s">
        <v>681</v>
      </c>
      <c r="P28" s="50"/>
      <c r="Q28" s="44" t="s">
        <v>1420</v>
      </c>
      <c r="R28" s="44" t="s">
        <v>682</v>
      </c>
      <c r="S28" s="44" t="s">
        <v>5</v>
      </c>
      <c r="T28" s="44" t="s">
        <v>255</v>
      </c>
      <c r="U28" s="50"/>
      <c r="V28" s="44" t="s">
        <v>1421</v>
      </c>
      <c r="W28" s="44">
        <v>981189900125303</v>
      </c>
      <c r="X28" s="44" t="s">
        <v>359</v>
      </c>
      <c r="Y28" s="46" t="s">
        <v>359</v>
      </c>
      <c r="Z28" s="44" t="s">
        <v>683</v>
      </c>
      <c r="AA28" s="44" t="s">
        <v>684</v>
      </c>
      <c r="AB28" s="44" t="s">
        <v>1422</v>
      </c>
      <c r="AC28" s="44" t="s">
        <v>1423</v>
      </c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44" t="s">
        <v>685</v>
      </c>
      <c r="AO28" s="44" t="s">
        <v>359</v>
      </c>
      <c r="AP28" s="44" t="s">
        <v>359</v>
      </c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44"/>
      <c r="BH28" s="45"/>
      <c r="BI28" s="45"/>
      <c r="BJ28" s="45"/>
      <c r="BK28" s="45"/>
    </row>
    <row r="29" spans="1:63" ht="23.25" customHeight="1">
      <c r="A29" s="31">
        <v>109</v>
      </c>
      <c r="B29" s="32">
        <v>41</v>
      </c>
      <c r="C29" s="48">
        <v>1</v>
      </c>
      <c r="D29" s="48" t="s">
        <v>664</v>
      </c>
      <c r="E29" s="48" t="s">
        <v>191</v>
      </c>
      <c r="F29" s="48" t="s">
        <v>31</v>
      </c>
      <c r="G29" s="48" t="s">
        <v>849</v>
      </c>
      <c r="H29" s="48">
        <v>731576386</v>
      </c>
      <c r="I29" s="51"/>
      <c r="J29" s="48"/>
      <c r="K29" s="51"/>
      <c r="L29" s="48" t="s">
        <v>15</v>
      </c>
      <c r="M29" s="48" t="s">
        <v>1</v>
      </c>
      <c r="N29" s="51"/>
      <c r="O29" s="51"/>
      <c r="P29" s="51"/>
      <c r="Q29" s="48" t="s">
        <v>850</v>
      </c>
      <c r="R29" s="48" t="s">
        <v>851</v>
      </c>
      <c r="S29" s="48" t="s">
        <v>5</v>
      </c>
      <c r="T29" s="48" t="s">
        <v>255</v>
      </c>
      <c r="U29" s="51"/>
      <c r="V29" s="48" t="s">
        <v>1496</v>
      </c>
      <c r="W29" s="48">
        <v>203096700001215</v>
      </c>
      <c r="X29" s="48" t="s">
        <v>359</v>
      </c>
      <c r="Y29" s="52" t="s">
        <v>359</v>
      </c>
      <c r="Z29" s="48" t="s">
        <v>852</v>
      </c>
      <c r="AA29" s="48" t="s">
        <v>853</v>
      </c>
      <c r="AB29" s="48" t="s">
        <v>1497</v>
      </c>
      <c r="AC29" s="48" t="s">
        <v>1498</v>
      </c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48" t="s">
        <v>854</v>
      </c>
      <c r="AO29" s="48" t="s">
        <v>359</v>
      </c>
      <c r="AP29" s="48" t="s">
        <v>359</v>
      </c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</row>
    <row r="30" spans="1:63" ht="23.25" customHeight="1">
      <c r="A30" s="31">
        <v>125</v>
      </c>
      <c r="B30" s="32">
        <v>45</v>
      </c>
      <c r="C30" s="48">
        <v>1</v>
      </c>
      <c r="D30" s="48" t="s">
        <v>95</v>
      </c>
      <c r="E30" s="48" t="s">
        <v>205</v>
      </c>
      <c r="F30" s="48" t="s">
        <v>982</v>
      </c>
      <c r="G30" s="48" t="s">
        <v>983</v>
      </c>
      <c r="H30" s="48">
        <v>731023635</v>
      </c>
      <c r="I30" s="51"/>
      <c r="J30" s="48" t="s">
        <v>27</v>
      </c>
      <c r="K30" s="48">
        <v>687</v>
      </c>
      <c r="L30" s="48" t="s">
        <v>984</v>
      </c>
      <c r="M30" s="48" t="s">
        <v>11</v>
      </c>
      <c r="N30" s="48">
        <v>72525</v>
      </c>
      <c r="O30" s="48" t="s">
        <v>985</v>
      </c>
      <c r="P30" s="51"/>
      <c r="Q30" s="48" t="s">
        <v>986</v>
      </c>
      <c r="R30" s="48" t="s">
        <v>8</v>
      </c>
      <c r="S30" s="48" t="s">
        <v>5</v>
      </c>
      <c r="T30" s="48" t="s">
        <v>37</v>
      </c>
      <c r="U30" s="51"/>
      <c r="V30" s="48" t="s">
        <v>1507</v>
      </c>
      <c r="W30" s="48">
        <v>941000024817717</v>
      </c>
      <c r="X30" s="48" t="s">
        <v>359</v>
      </c>
      <c r="Y30" s="52" t="s">
        <v>359</v>
      </c>
      <c r="Z30" s="48" t="s">
        <v>987</v>
      </c>
      <c r="AA30" s="48" t="s">
        <v>988</v>
      </c>
      <c r="AB30" s="48" t="s">
        <v>9</v>
      </c>
      <c r="AC30" s="48" t="s">
        <v>1508</v>
      </c>
      <c r="AD30" s="51"/>
      <c r="AE30" s="55" t="str">
        <f>HYPERLINK("https://drive.google.com/open?id=1dWaOys3bGBFf7xE1FDGlL3wnCwN_4utx","20210614095530_IMG_2230.JPG")</f>
        <v>20210614095530_IMG_2230.JPG</v>
      </c>
      <c r="AF30" s="55" t="str">
        <f>HYPERLINK("https://drive.google.com/open?id=1NI-pbNV-VOQimMcgRuBbOJLoinKFJ6ai","16275633925377954989435749872520.jpg")</f>
        <v>16275633925377954989435749872520.jpg</v>
      </c>
      <c r="AG30" s="55" t="str">
        <f>HYPERLINK("https://drive.google.com/open?id=1ZmElmfEVE0W_SiQa4ljiP-LF2VHMWReJ","16275418503257269683704701292417.jpg")</f>
        <v>16275418503257269683704701292417.jpg</v>
      </c>
      <c r="AH30" s="51"/>
      <c r="AI30" s="55" t="str">
        <f>HYPERLINK("https://drive.google.com/open?id=10Ek8oy1FO1imNTQwe1ACHOHy8yMC--kM","16275451330428233809540791411740.jpg")</f>
        <v>16275451330428233809540791411740.jpg</v>
      </c>
      <c r="AJ30" s="51"/>
      <c r="AK30" s="51"/>
      <c r="AL30" s="48" t="s">
        <v>4</v>
      </c>
      <c r="AM30" s="51"/>
      <c r="AN30" s="48" t="s">
        <v>989</v>
      </c>
      <c r="AO30" s="48" t="s">
        <v>271</v>
      </c>
      <c r="AP30" s="48" t="s">
        <v>25</v>
      </c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</row>
    <row r="31" spans="1:63" ht="23.25" customHeight="1">
      <c r="A31" s="48">
        <v>175</v>
      </c>
      <c r="B31" s="32">
        <v>1</v>
      </c>
      <c r="C31" s="48">
        <v>1</v>
      </c>
      <c r="D31" s="48" t="s">
        <v>158</v>
      </c>
      <c r="E31" s="48" t="s">
        <v>191</v>
      </c>
      <c r="F31" s="48" t="s">
        <v>1324</v>
      </c>
      <c r="G31" s="48" t="s">
        <v>1325</v>
      </c>
      <c r="H31" s="48">
        <v>724015734</v>
      </c>
      <c r="I31" s="51"/>
      <c r="J31" s="48" t="s">
        <v>1326</v>
      </c>
      <c r="K31" s="48">
        <v>18</v>
      </c>
      <c r="L31" s="48" t="s">
        <v>1327</v>
      </c>
      <c r="M31" s="51"/>
      <c r="N31" s="51"/>
      <c r="O31" s="48" t="s">
        <v>1328</v>
      </c>
      <c r="P31" s="51"/>
      <c r="Q31" s="48" t="s">
        <v>1329</v>
      </c>
      <c r="R31" s="48" t="s">
        <v>1330</v>
      </c>
      <c r="S31" s="48" t="s">
        <v>5</v>
      </c>
      <c r="T31" s="48" t="s">
        <v>255</v>
      </c>
      <c r="U31" s="51"/>
      <c r="V31" s="48" t="s">
        <v>1584</v>
      </c>
      <c r="W31" s="48" t="s">
        <v>1331</v>
      </c>
      <c r="X31" s="48" t="s">
        <v>919</v>
      </c>
      <c r="Y31" s="52" t="s">
        <v>122</v>
      </c>
      <c r="Z31" s="48" t="s">
        <v>1332</v>
      </c>
      <c r="AA31" s="48" t="s">
        <v>1333</v>
      </c>
      <c r="AB31" s="48" t="s">
        <v>1334</v>
      </c>
      <c r="AC31" s="48" t="s">
        <v>1334</v>
      </c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48" t="s">
        <v>1335</v>
      </c>
      <c r="AO31" s="48" t="s">
        <v>25</v>
      </c>
      <c r="AP31" s="48" t="s">
        <v>25</v>
      </c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</row>
    <row r="32" spans="1:63" ht="23.25" customHeight="1">
      <c r="A32" s="62">
        <v>26</v>
      </c>
      <c r="B32" s="32">
        <v>36</v>
      </c>
      <c r="C32" s="64">
        <v>1</v>
      </c>
      <c r="D32" s="64" t="s">
        <v>170</v>
      </c>
      <c r="E32" s="64" t="s">
        <v>191</v>
      </c>
      <c r="F32" s="64" t="s">
        <v>10</v>
      </c>
      <c r="G32" s="64" t="s">
        <v>278</v>
      </c>
      <c r="H32" s="64">
        <v>731556022</v>
      </c>
      <c r="I32" s="64"/>
      <c r="J32" s="64" t="s">
        <v>279</v>
      </c>
      <c r="K32" s="64">
        <v>280</v>
      </c>
      <c r="L32" s="64" t="s">
        <v>280</v>
      </c>
      <c r="M32" s="64" t="s">
        <v>17</v>
      </c>
      <c r="N32" s="64">
        <v>47124</v>
      </c>
      <c r="O32" s="64" t="s">
        <v>281</v>
      </c>
      <c r="P32" s="64"/>
      <c r="Q32" s="64" t="s">
        <v>282</v>
      </c>
      <c r="R32" s="64" t="s">
        <v>283</v>
      </c>
      <c r="S32" s="64" t="s">
        <v>5</v>
      </c>
      <c r="T32" s="64" t="s">
        <v>255</v>
      </c>
      <c r="U32" s="64"/>
      <c r="V32" s="64" t="s">
        <v>1548</v>
      </c>
      <c r="W32" s="64" t="s">
        <v>284</v>
      </c>
      <c r="X32" s="64" t="s">
        <v>359</v>
      </c>
      <c r="Y32" s="65" t="s">
        <v>359</v>
      </c>
      <c r="Z32" s="64" t="s">
        <v>285</v>
      </c>
      <c r="AA32" s="64" t="s">
        <v>286</v>
      </c>
      <c r="AB32" s="64" t="s">
        <v>1549</v>
      </c>
      <c r="AC32" s="64" t="s">
        <v>1550</v>
      </c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</row>
    <row r="33" spans="1:63" ht="23.25" customHeight="1">
      <c r="A33" s="69">
        <v>45</v>
      </c>
      <c r="B33" s="32">
        <v>55</v>
      </c>
      <c r="C33" s="56">
        <v>1</v>
      </c>
      <c r="D33" s="56" t="s">
        <v>421</v>
      </c>
      <c r="E33" s="56" t="s">
        <v>191</v>
      </c>
      <c r="F33" s="56" t="s">
        <v>422</v>
      </c>
      <c r="G33" s="56" t="s">
        <v>423</v>
      </c>
      <c r="H33" s="59" t="s">
        <v>424</v>
      </c>
      <c r="I33" s="104"/>
      <c r="J33" s="56" t="s">
        <v>425</v>
      </c>
      <c r="K33" s="56">
        <v>93</v>
      </c>
      <c r="L33" s="56" t="s">
        <v>425</v>
      </c>
      <c r="M33" s="56" t="s">
        <v>426</v>
      </c>
      <c r="N33" s="104"/>
      <c r="O33" s="56" t="s">
        <v>427</v>
      </c>
      <c r="P33" s="104"/>
      <c r="Q33" s="56" t="s">
        <v>428</v>
      </c>
      <c r="R33" s="56" t="s">
        <v>429</v>
      </c>
      <c r="S33" s="56" t="s">
        <v>5</v>
      </c>
      <c r="T33" s="56" t="s">
        <v>255</v>
      </c>
      <c r="U33" s="104"/>
      <c r="V33" s="56" t="s">
        <v>1471</v>
      </c>
      <c r="W33" s="56">
        <v>981189900125745</v>
      </c>
      <c r="X33" s="56" t="s">
        <v>359</v>
      </c>
      <c r="Y33" s="59" t="s">
        <v>359</v>
      </c>
      <c r="Z33" s="56" t="s">
        <v>430</v>
      </c>
      <c r="AA33" s="56" t="s">
        <v>431</v>
      </c>
      <c r="AB33" s="56" t="s">
        <v>1472</v>
      </c>
      <c r="AC33" s="56" t="s">
        <v>1437</v>
      </c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56" t="s">
        <v>359</v>
      </c>
      <c r="AP33" s="56" t="s">
        <v>359</v>
      </c>
      <c r="AQ33" s="104"/>
      <c r="AR33" s="104"/>
      <c r="AS33" s="104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6"/>
      <c r="BH33" s="56"/>
      <c r="BI33" s="56"/>
      <c r="BJ33" s="56"/>
      <c r="BK33" s="56"/>
    </row>
    <row r="34" spans="1:63" ht="23.25" customHeight="1">
      <c r="A34" s="42">
        <v>69</v>
      </c>
      <c r="B34" s="32">
        <v>32</v>
      </c>
      <c r="C34" s="40">
        <v>1</v>
      </c>
      <c r="D34" s="40" t="s">
        <v>42</v>
      </c>
      <c r="E34" s="40" t="s">
        <v>191</v>
      </c>
      <c r="F34" s="40" t="s">
        <v>600</v>
      </c>
      <c r="G34" s="40" t="s">
        <v>601</v>
      </c>
      <c r="H34" s="41" t="s">
        <v>602</v>
      </c>
      <c r="I34" s="80"/>
      <c r="J34" s="40" t="s">
        <v>603</v>
      </c>
      <c r="K34" s="40">
        <v>277</v>
      </c>
      <c r="L34" s="40" t="s">
        <v>604</v>
      </c>
      <c r="M34" s="40" t="s">
        <v>11</v>
      </c>
      <c r="N34" s="40">
        <v>38421</v>
      </c>
      <c r="O34" s="40" t="s">
        <v>605</v>
      </c>
      <c r="P34" s="80"/>
      <c r="Q34" s="40" t="s">
        <v>606</v>
      </c>
      <c r="R34" s="40" t="s">
        <v>607</v>
      </c>
      <c r="S34" s="40" t="s">
        <v>5</v>
      </c>
      <c r="T34" s="40" t="s">
        <v>24</v>
      </c>
      <c r="U34" s="40" t="s">
        <v>600</v>
      </c>
      <c r="V34" s="40" t="s">
        <v>1537</v>
      </c>
      <c r="W34" s="40">
        <v>953010004590155</v>
      </c>
      <c r="X34" s="40" t="s">
        <v>359</v>
      </c>
      <c r="Y34" s="41" t="s">
        <v>359</v>
      </c>
      <c r="Z34" s="40" t="s">
        <v>608</v>
      </c>
      <c r="AA34" s="40" t="s">
        <v>609</v>
      </c>
      <c r="AB34" s="40" t="s">
        <v>1538</v>
      </c>
      <c r="AC34" s="40" t="s">
        <v>1538</v>
      </c>
      <c r="AD34" s="80"/>
      <c r="AE34" s="80"/>
      <c r="AF34" s="82" t="str">
        <f>HYPERLINK("https://drive.google.com/open?id=1ZvwlwTPWT7TIE4LJ73qPquqspNTx2OOg","IMG_20210725_175215.jpg")</f>
        <v>IMG_20210725_175215.jpg</v>
      </c>
      <c r="AG34" s="80"/>
      <c r="AH34" s="80"/>
      <c r="AI34" s="82" t="str">
        <f>HYPERLINK("https://drive.google.com/open?id=1vWQ6goysbmSYCdPfK-OC3-MiNLDhpTam","IMG-20210530-WA0000.jpg")</f>
        <v>IMG-20210530-WA0000.jpg</v>
      </c>
      <c r="AJ34" s="80"/>
      <c r="AK34" s="80"/>
      <c r="AL34" s="40" t="s">
        <v>4</v>
      </c>
      <c r="AM34" s="80"/>
      <c r="AN34" s="40" t="s">
        <v>610</v>
      </c>
      <c r="AO34" s="40" t="s">
        <v>33</v>
      </c>
      <c r="AP34" s="40" t="s">
        <v>25</v>
      </c>
      <c r="AQ34" s="80"/>
      <c r="AR34" s="80"/>
      <c r="AS34" s="80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40"/>
      <c r="BH34" s="84"/>
      <c r="BI34" s="84"/>
      <c r="BJ34" s="84"/>
      <c r="BK34" s="84"/>
    </row>
    <row r="35" spans="1:63" ht="23.25" customHeight="1">
      <c r="A35" s="42">
        <v>104</v>
      </c>
      <c r="B35" s="32">
        <v>40</v>
      </c>
      <c r="C35" s="44">
        <v>1</v>
      </c>
      <c r="D35" s="44" t="s">
        <v>664</v>
      </c>
      <c r="E35" s="44" t="s">
        <v>191</v>
      </c>
      <c r="F35" s="44" t="s">
        <v>820</v>
      </c>
      <c r="G35" s="44" t="s">
        <v>821</v>
      </c>
      <c r="H35" s="44">
        <v>775115002</v>
      </c>
      <c r="I35" s="45"/>
      <c r="J35" s="44" t="s">
        <v>822</v>
      </c>
      <c r="K35" s="44">
        <v>271</v>
      </c>
      <c r="L35" s="44" t="s">
        <v>823</v>
      </c>
      <c r="M35" s="44" t="s">
        <v>1</v>
      </c>
      <c r="N35" s="44">
        <v>58301</v>
      </c>
      <c r="O35" s="44" t="s">
        <v>824</v>
      </c>
      <c r="P35" s="45"/>
      <c r="Q35" s="44" t="s">
        <v>825</v>
      </c>
      <c r="R35" s="44" t="s">
        <v>200</v>
      </c>
      <c r="S35" s="44" t="s">
        <v>5</v>
      </c>
      <c r="T35" s="44" t="s">
        <v>255</v>
      </c>
      <c r="U35" s="45"/>
      <c r="V35" s="44" t="s">
        <v>1494</v>
      </c>
      <c r="W35" s="44" t="s">
        <v>826</v>
      </c>
      <c r="X35" s="44" t="s">
        <v>359</v>
      </c>
      <c r="Y35" s="46" t="s">
        <v>359</v>
      </c>
      <c r="Z35" s="44" t="s">
        <v>329</v>
      </c>
      <c r="AA35" s="44" t="s">
        <v>827</v>
      </c>
      <c r="AB35" s="44" t="s">
        <v>1495</v>
      </c>
      <c r="AC35" s="44" t="s">
        <v>1495</v>
      </c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4" t="s">
        <v>828</v>
      </c>
      <c r="AO35" s="44" t="s">
        <v>359</v>
      </c>
      <c r="AP35" s="44" t="s">
        <v>359</v>
      </c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63" ht="23.25" customHeight="1">
      <c r="A36" s="42">
        <v>107</v>
      </c>
      <c r="B36" s="32">
        <v>71</v>
      </c>
      <c r="C36" s="44">
        <v>1</v>
      </c>
      <c r="D36" s="44" t="s">
        <v>144</v>
      </c>
      <c r="E36" s="44" t="s">
        <v>191</v>
      </c>
      <c r="F36" s="44" t="s">
        <v>820</v>
      </c>
      <c r="G36" s="44" t="s">
        <v>821</v>
      </c>
      <c r="H36" s="44">
        <v>775115002</v>
      </c>
      <c r="I36" s="45"/>
      <c r="J36" s="44" t="s">
        <v>822</v>
      </c>
      <c r="K36" s="44">
        <v>271</v>
      </c>
      <c r="L36" s="44" t="s">
        <v>823</v>
      </c>
      <c r="M36" s="44" t="s">
        <v>1</v>
      </c>
      <c r="N36" s="44">
        <v>58301</v>
      </c>
      <c r="O36" s="44" t="s">
        <v>824</v>
      </c>
      <c r="P36" s="45"/>
      <c r="Q36" s="44" t="s">
        <v>835</v>
      </c>
      <c r="R36" s="44" t="s">
        <v>200</v>
      </c>
      <c r="S36" s="44" t="s">
        <v>5</v>
      </c>
      <c r="T36" s="44" t="s">
        <v>255</v>
      </c>
      <c r="U36" s="45"/>
      <c r="V36" s="44" t="s">
        <v>1705</v>
      </c>
      <c r="W36" s="44">
        <v>43071</v>
      </c>
      <c r="X36" s="44" t="s">
        <v>836</v>
      </c>
      <c r="Y36" s="46" t="s">
        <v>122</v>
      </c>
      <c r="Z36" s="44" t="s">
        <v>837</v>
      </c>
      <c r="AA36" s="44" t="s">
        <v>838</v>
      </c>
      <c r="AB36" s="44" t="s">
        <v>1495</v>
      </c>
      <c r="AC36" s="44" t="s">
        <v>1495</v>
      </c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4" t="s">
        <v>839</v>
      </c>
      <c r="AO36" s="44" t="s">
        <v>25</v>
      </c>
      <c r="AP36" s="44" t="s">
        <v>25</v>
      </c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</row>
    <row r="37" spans="1:63" ht="23.25" customHeight="1">
      <c r="A37" s="202">
        <v>176</v>
      </c>
      <c r="B37" s="32">
        <v>54</v>
      </c>
      <c r="C37" s="131">
        <v>1</v>
      </c>
      <c r="D37" s="131" t="s">
        <v>178</v>
      </c>
      <c r="E37" s="131" t="s">
        <v>191</v>
      </c>
      <c r="F37" s="131" t="s">
        <v>7</v>
      </c>
      <c r="G37" s="127" t="s">
        <v>1465</v>
      </c>
      <c r="H37" s="131">
        <v>704451723</v>
      </c>
      <c r="I37" s="128" t="s">
        <v>1336</v>
      </c>
      <c r="J37" s="131" t="s">
        <v>1466</v>
      </c>
      <c r="K37" s="131">
        <v>437</v>
      </c>
      <c r="L37" s="128" t="s">
        <v>1337</v>
      </c>
      <c r="M37" s="132">
        <v>69674</v>
      </c>
      <c r="N37" s="128" t="s">
        <v>1338</v>
      </c>
      <c r="O37" s="128"/>
      <c r="P37" s="128"/>
      <c r="Q37" s="131" t="s">
        <v>1467</v>
      </c>
      <c r="R37" s="128" t="s">
        <v>358</v>
      </c>
      <c r="S37" s="128" t="s">
        <v>5</v>
      </c>
      <c r="T37" s="128"/>
      <c r="U37" s="128"/>
      <c r="V37" s="131" t="s">
        <v>1468</v>
      </c>
      <c r="W37" s="132">
        <v>900182002035400</v>
      </c>
      <c r="X37" s="133" t="s">
        <v>359</v>
      </c>
      <c r="Y37" s="131" t="s">
        <v>359</v>
      </c>
      <c r="Z37" s="128" t="s">
        <v>378</v>
      </c>
      <c r="AA37" s="128" t="s">
        <v>361</v>
      </c>
      <c r="AB37" s="131" t="s">
        <v>1469</v>
      </c>
      <c r="AC37" s="131" t="s">
        <v>1470</v>
      </c>
      <c r="AD37" s="128"/>
      <c r="AE37" s="134" t="str">
        <f>HYPERLINK("https://drive.google.com/open?id=1GbY5zEtg_YBlYLakVog7CGxnexqevq41","Screenshot_2021-08-04-09-59-35-794_com.android.chrome.jpg")</f>
        <v>Screenshot_2021-08-04-09-59-35-794_com.android.chrome.jpg</v>
      </c>
      <c r="AF37" s="128"/>
      <c r="AG37" s="128"/>
      <c r="AH37" s="134" t="str">
        <f>HYPERLINK("https://drive.google.com/open?id=12w2k8Wy4I_FgaM7rfkRVXMhfI6Q51pSq","IMG_20210614_092950.jpg")</f>
        <v>IMG_20210614_092950.jpg</v>
      </c>
      <c r="AI37" s="128"/>
      <c r="AJ37" s="128"/>
      <c r="AK37" s="128" t="s">
        <v>4</v>
      </c>
      <c r="AL37" s="128"/>
      <c r="AM37" s="128"/>
      <c r="AN37" s="128" t="s">
        <v>1339</v>
      </c>
      <c r="AO37" s="131" t="s">
        <v>359</v>
      </c>
      <c r="AP37" s="131" t="s">
        <v>359</v>
      </c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45"/>
    </row>
    <row r="38" spans="1:63" ht="23.25" customHeight="1">
      <c r="A38" s="42">
        <v>168</v>
      </c>
      <c r="B38" s="32">
        <v>3</v>
      </c>
      <c r="C38" s="44">
        <v>1</v>
      </c>
      <c r="D38" s="44" t="s">
        <v>158</v>
      </c>
      <c r="E38" s="44" t="s">
        <v>191</v>
      </c>
      <c r="F38" s="44" t="s">
        <v>100</v>
      </c>
      <c r="G38" s="44" t="s">
        <v>1264</v>
      </c>
      <c r="H38" s="44">
        <v>724240359</v>
      </c>
      <c r="I38" s="45"/>
      <c r="J38" s="44" t="s">
        <v>1265</v>
      </c>
      <c r="K38" s="44">
        <v>2976</v>
      </c>
      <c r="L38" s="44" t="s">
        <v>1206</v>
      </c>
      <c r="M38" s="45"/>
      <c r="N38" s="44">
        <v>27601</v>
      </c>
      <c r="O38" s="44" t="s">
        <v>1266</v>
      </c>
      <c r="P38" s="45"/>
      <c r="Q38" s="44" t="s">
        <v>1267</v>
      </c>
      <c r="R38" s="44" t="s">
        <v>1268</v>
      </c>
      <c r="S38" s="44" t="s">
        <v>5</v>
      </c>
      <c r="T38" s="44" t="s">
        <v>255</v>
      </c>
      <c r="U38" s="45"/>
      <c r="V38" s="44" t="s">
        <v>1588</v>
      </c>
      <c r="W38" s="44" t="s">
        <v>1269</v>
      </c>
      <c r="X38" s="44" t="s">
        <v>1270</v>
      </c>
      <c r="Y38" s="46" t="s">
        <v>1271</v>
      </c>
      <c r="Z38" s="44" t="s">
        <v>1272</v>
      </c>
      <c r="AA38" s="44" t="s">
        <v>1273</v>
      </c>
      <c r="AB38" s="44" t="s">
        <v>1274</v>
      </c>
      <c r="AC38" s="44" t="s">
        <v>1275</v>
      </c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4" t="s">
        <v>1276</v>
      </c>
      <c r="AO38" s="44" t="s">
        <v>33</v>
      </c>
      <c r="AP38" s="44" t="s">
        <v>25</v>
      </c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</row>
    <row r="39" spans="1:63" ht="23.25" customHeight="1">
      <c r="A39" s="31">
        <v>170</v>
      </c>
      <c r="B39" s="32">
        <v>8</v>
      </c>
      <c r="C39" s="48">
        <v>1</v>
      </c>
      <c r="D39" s="48" t="s">
        <v>158</v>
      </c>
      <c r="E39" s="48" t="s">
        <v>191</v>
      </c>
      <c r="F39" s="48" t="s">
        <v>100</v>
      </c>
      <c r="G39" s="48" t="s">
        <v>1264</v>
      </c>
      <c r="H39" s="48">
        <v>724240359</v>
      </c>
      <c r="I39" s="51"/>
      <c r="J39" s="48" t="s">
        <v>1265</v>
      </c>
      <c r="K39" s="48">
        <v>2976</v>
      </c>
      <c r="L39" s="48" t="s">
        <v>1206</v>
      </c>
      <c r="M39" s="51"/>
      <c r="N39" s="51"/>
      <c r="O39" s="51"/>
      <c r="P39" s="51"/>
      <c r="Q39" s="48" t="s">
        <v>1284</v>
      </c>
      <c r="R39" s="48" t="s">
        <v>1278</v>
      </c>
      <c r="S39" s="48" t="s">
        <v>5</v>
      </c>
      <c r="T39" s="48" t="s">
        <v>255</v>
      </c>
      <c r="U39" s="51"/>
      <c r="V39" s="48" t="s">
        <v>1596</v>
      </c>
      <c r="W39" s="48" t="s">
        <v>1285</v>
      </c>
      <c r="X39" s="48" t="s">
        <v>1286</v>
      </c>
      <c r="Y39" s="52" t="s">
        <v>1280</v>
      </c>
      <c r="Z39" s="48" t="s">
        <v>1287</v>
      </c>
      <c r="AA39" s="48" t="s">
        <v>1288</v>
      </c>
      <c r="AB39" s="48" t="s">
        <v>1275</v>
      </c>
      <c r="AC39" s="48" t="s">
        <v>1275</v>
      </c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48" t="s">
        <v>1289</v>
      </c>
      <c r="AO39" s="48" t="s">
        <v>33</v>
      </c>
      <c r="AP39" s="48" t="s">
        <v>25</v>
      </c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</row>
    <row r="40" spans="1:63" ht="23.25" customHeight="1">
      <c r="A40" s="42">
        <v>169</v>
      </c>
      <c r="B40" s="32">
        <v>24</v>
      </c>
      <c r="C40" s="44">
        <v>1</v>
      </c>
      <c r="D40" s="44" t="s">
        <v>158</v>
      </c>
      <c r="E40" s="44" t="s">
        <v>191</v>
      </c>
      <c r="F40" s="44" t="s">
        <v>100</v>
      </c>
      <c r="G40" s="44" t="s">
        <v>1264</v>
      </c>
      <c r="H40" s="44">
        <v>724240359</v>
      </c>
      <c r="I40" s="45"/>
      <c r="J40" s="44" t="s">
        <v>1265</v>
      </c>
      <c r="K40" s="44">
        <v>2976</v>
      </c>
      <c r="L40" s="44" t="s">
        <v>1206</v>
      </c>
      <c r="M40" s="45"/>
      <c r="N40" s="45"/>
      <c r="O40" s="45"/>
      <c r="P40" s="45"/>
      <c r="Q40" s="44" t="s">
        <v>1277</v>
      </c>
      <c r="R40" s="44" t="s">
        <v>1278</v>
      </c>
      <c r="S40" s="44" t="s">
        <v>5</v>
      </c>
      <c r="T40" s="44" t="s">
        <v>255</v>
      </c>
      <c r="U40" s="45"/>
      <c r="V40" s="44" t="s">
        <v>1620</v>
      </c>
      <c r="W40" s="44" t="s">
        <v>1279</v>
      </c>
      <c r="X40" s="44" t="s">
        <v>32</v>
      </c>
      <c r="Y40" s="46" t="s">
        <v>1280</v>
      </c>
      <c r="Z40" s="44" t="s">
        <v>1281</v>
      </c>
      <c r="AA40" s="44" t="s">
        <v>1282</v>
      </c>
      <c r="AB40" s="44" t="s">
        <v>1275</v>
      </c>
      <c r="AC40" s="44" t="s">
        <v>1275</v>
      </c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4" t="s">
        <v>1283</v>
      </c>
      <c r="AO40" s="44" t="s">
        <v>33</v>
      </c>
      <c r="AP40" s="44" t="s">
        <v>25</v>
      </c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</row>
    <row r="41" spans="1:63" ht="23.25" customHeight="1">
      <c r="A41" s="44">
        <v>173</v>
      </c>
      <c r="B41" s="32">
        <v>22</v>
      </c>
      <c r="C41" s="44">
        <v>1</v>
      </c>
      <c r="D41" s="44" t="s">
        <v>158</v>
      </c>
      <c r="E41" s="44" t="s">
        <v>191</v>
      </c>
      <c r="F41" s="44" t="s">
        <v>331</v>
      </c>
      <c r="G41" s="44" t="s">
        <v>1307</v>
      </c>
      <c r="H41" s="44">
        <v>725464706</v>
      </c>
      <c r="I41" s="45"/>
      <c r="J41" s="44" t="s">
        <v>1308</v>
      </c>
      <c r="K41" s="44">
        <v>48</v>
      </c>
      <c r="L41" s="44" t="s">
        <v>644</v>
      </c>
      <c r="M41" s="45"/>
      <c r="N41" s="45"/>
      <c r="O41" s="44" t="s">
        <v>1309</v>
      </c>
      <c r="P41" s="45"/>
      <c r="Q41" s="44" t="s">
        <v>1310</v>
      </c>
      <c r="R41" s="44" t="s">
        <v>1311</v>
      </c>
      <c r="S41" s="44" t="s">
        <v>5</v>
      </c>
      <c r="T41" s="44" t="s">
        <v>255</v>
      </c>
      <c r="U41" s="45"/>
      <c r="V41" s="44" t="s">
        <v>1618</v>
      </c>
      <c r="W41" s="44" t="s">
        <v>1312</v>
      </c>
      <c r="X41" s="44" t="s">
        <v>1313</v>
      </c>
      <c r="Y41" s="46" t="s">
        <v>30</v>
      </c>
      <c r="Z41" s="44" t="s">
        <v>1314</v>
      </c>
      <c r="AA41" s="44" t="s">
        <v>1315</v>
      </c>
      <c r="AB41" s="44" t="s">
        <v>1316</v>
      </c>
      <c r="AC41" s="44" t="s">
        <v>1316</v>
      </c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4" t="s">
        <v>1317</v>
      </c>
      <c r="AO41" s="44" t="s">
        <v>25</v>
      </c>
      <c r="AP41" s="44" t="s">
        <v>25</v>
      </c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</row>
    <row r="42" spans="1:63" ht="23.25" customHeight="1">
      <c r="A42" s="38">
        <v>12</v>
      </c>
      <c r="B42" s="32">
        <v>23</v>
      </c>
      <c r="C42" s="40">
        <v>1</v>
      </c>
      <c r="D42" s="40" t="s">
        <v>158</v>
      </c>
      <c r="E42" s="40"/>
      <c r="F42" s="40" t="s">
        <v>159</v>
      </c>
      <c r="G42" s="40" t="s">
        <v>160</v>
      </c>
      <c r="H42" s="40" t="s">
        <v>161</v>
      </c>
      <c r="I42" s="40"/>
      <c r="J42" s="40" t="s">
        <v>162</v>
      </c>
      <c r="K42" s="40">
        <v>128</v>
      </c>
      <c r="L42" s="40" t="s">
        <v>162</v>
      </c>
      <c r="M42" s="40" t="s">
        <v>17</v>
      </c>
      <c r="N42" s="40">
        <v>74730</v>
      </c>
      <c r="O42" s="40" t="s">
        <v>163</v>
      </c>
      <c r="P42" s="40"/>
      <c r="Q42" s="40" t="s">
        <v>164</v>
      </c>
      <c r="R42" s="40" t="s">
        <v>165</v>
      </c>
      <c r="S42" s="40" t="s">
        <v>5</v>
      </c>
      <c r="T42" s="40" t="s">
        <v>152</v>
      </c>
      <c r="U42" s="40"/>
      <c r="V42" s="40" t="s">
        <v>1619</v>
      </c>
      <c r="W42" s="40" t="s">
        <v>166</v>
      </c>
      <c r="X42" s="40" t="s">
        <v>127</v>
      </c>
      <c r="Y42" s="41" t="s">
        <v>122</v>
      </c>
      <c r="Z42" s="40" t="s">
        <v>167</v>
      </c>
      <c r="AA42" s="40" t="s">
        <v>168</v>
      </c>
      <c r="AB42" s="40" t="s">
        <v>1535</v>
      </c>
      <c r="AC42" s="40" t="s">
        <v>1535</v>
      </c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</row>
    <row r="43" spans="1:63" ht="23.25" customHeight="1">
      <c r="A43" s="62">
        <v>13</v>
      </c>
      <c r="B43" s="32">
        <v>31</v>
      </c>
      <c r="C43" s="64">
        <v>1</v>
      </c>
      <c r="D43" s="64" t="s">
        <v>170</v>
      </c>
      <c r="E43" s="64"/>
      <c r="F43" s="64" t="s">
        <v>159</v>
      </c>
      <c r="G43" s="64" t="s">
        <v>160</v>
      </c>
      <c r="H43" s="64" t="s">
        <v>161</v>
      </c>
      <c r="I43" s="64"/>
      <c r="J43" s="64" t="s">
        <v>162</v>
      </c>
      <c r="K43" s="64">
        <v>128</v>
      </c>
      <c r="L43" s="64" t="s">
        <v>162</v>
      </c>
      <c r="M43" s="64" t="s">
        <v>17</v>
      </c>
      <c r="N43" s="64">
        <v>74730</v>
      </c>
      <c r="O43" s="64" t="s">
        <v>163</v>
      </c>
      <c r="P43" s="64"/>
      <c r="Q43" s="64" t="s">
        <v>171</v>
      </c>
      <c r="R43" s="64" t="s">
        <v>165</v>
      </c>
      <c r="S43" s="64" t="s">
        <v>5</v>
      </c>
      <c r="T43" s="64" t="s">
        <v>152</v>
      </c>
      <c r="U43" s="64"/>
      <c r="V43" s="64" t="s">
        <v>1534</v>
      </c>
      <c r="W43" s="64" t="s">
        <v>172</v>
      </c>
      <c r="X43" s="64" t="s">
        <v>359</v>
      </c>
      <c r="Y43" s="65" t="s">
        <v>359</v>
      </c>
      <c r="Z43" s="64" t="s">
        <v>173</v>
      </c>
      <c r="AA43" s="64" t="s">
        <v>174</v>
      </c>
      <c r="AB43" s="64" t="s">
        <v>1535</v>
      </c>
      <c r="AC43" s="64" t="s">
        <v>1535</v>
      </c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</row>
    <row r="44" spans="1:63" ht="23.25" customHeight="1">
      <c r="A44" s="62">
        <v>17</v>
      </c>
      <c r="B44" s="32">
        <v>27</v>
      </c>
      <c r="C44" s="64">
        <v>1</v>
      </c>
      <c r="D44" s="64" t="s">
        <v>54</v>
      </c>
      <c r="E44" s="64" t="s">
        <v>205</v>
      </c>
      <c r="F44" s="64" t="s">
        <v>101</v>
      </c>
      <c r="G44" s="64" t="s">
        <v>206</v>
      </c>
      <c r="H44" s="64">
        <v>603840236</v>
      </c>
      <c r="I44" s="64"/>
      <c r="J44" s="64" t="s">
        <v>207</v>
      </c>
      <c r="K44" s="64">
        <v>50</v>
      </c>
      <c r="L44" s="64" t="s">
        <v>208</v>
      </c>
      <c r="M44" s="64" t="s">
        <v>1</v>
      </c>
      <c r="N44" s="64">
        <v>32300</v>
      </c>
      <c r="O44" s="64" t="s">
        <v>209</v>
      </c>
      <c r="P44" s="64"/>
      <c r="Q44" s="64" t="s">
        <v>210</v>
      </c>
      <c r="R44" s="64" t="s">
        <v>211</v>
      </c>
      <c r="S44" s="64" t="s">
        <v>5</v>
      </c>
      <c r="T44" s="64" t="s">
        <v>37</v>
      </c>
      <c r="U44" s="64"/>
      <c r="V44" s="64" t="s">
        <v>1628</v>
      </c>
      <c r="W44" s="64">
        <v>203096100146323</v>
      </c>
      <c r="X44" s="64" t="s">
        <v>212</v>
      </c>
      <c r="Y44" s="65" t="s">
        <v>213</v>
      </c>
      <c r="Z44" s="64" t="s">
        <v>214</v>
      </c>
      <c r="AA44" s="64" t="s">
        <v>215</v>
      </c>
      <c r="AB44" s="64" t="s">
        <v>1173</v>
      </c>
      <c r="AC44" s="64" t="s">
        <v>1629</v>
      </c>
      <c r="AD44" s="64"/>
      <c r="AE44" s="64"/>
      <c r="AF44" s="79" t="str">
        <f>HYPERLINK("https://drive.google.com/open?id=1pja13XFVc2YeXqQ-Jmmlh4OBwKUgSgK4","Potvrzeni_o_odchozi_uhrade.pdf")</f>
        <v>Potvrzeni_o_odchozi_uhrade.pdf</v>
      </c>
      <c r="AG44" s="64"/>
      <c r="AH44" s="79" t="str">
        <f>HYPERLINK("https://drive.google.com/open?id=1qYwhesgd7oyU1wlfeT8RcWwyTuYdUMO8","3.pdf")</f>
        <v>3.pdf</v>
      </c>
      <c r="AI44" s="79" t="str">
        <f>HYPERLINK("https://drive.google.com/open?id=1Un_4FTTQN0pYXGPngExwPThVdrqXCeW5","1.pdf")</f>
        <v>1.pdf</v>
      </c>
      <c r="AJ44" s="79" t="str">
        <f>HYPERLINK("https://drive.google.com/open?id=1BevGbQRiAeDV2YqsSoQWYq6cmt9EgBZv","2.pdf")</f>
        <v>2.pdf</v>
      </c>
      <c r="AK44" s="79" t="str">
        <f>HYPERLINK("https://drive.google.com/open?id=1fp-T8uFzZBUCNS4VqV8KZnhp5P3QBLIX","4.pdf")</f>
        <v>4.pdf</v>
      </c>
      <c r="AL44" s="64" t="s">
        <v>4</v>
      </c>
      <c r="AM44" s="64"/>
      <c r="AN44" s="64" t="s">
        <v>216</v>
      </c>
      <c r="AO44" s="64" t="s">
        <v>217</v>
      </c>
      <c r="AP44" s="64" t="s">
        <v>26</v>
      </c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</row>
    <row r="45" spans="1:63" ht="23.25" customHeight="1">
      <c r="A45" s="31">
        <v>82</v>
      </c>
      <c r="B45" s="32">
        <v>66</v>
      </c>
      <c r="C45" s="33">
        <v>1</v>
      </c>
      <c r="D45" s="33" t="s">
        <v>68</v>
      </c>
      <c r="E45" s="33" t="s">
        <v>205</v>
      </c>
      <c r="F45" s="33" t="s">
        <v>690</v>
      </c>
      <c r="G45" s="33" t="s">
        <v>691</v>
      </c>
      <c r="H45" s="203" t="s">
        <v>692</v>
      </c>
      <c r="I45" s="36"/>
      <c r="J45" s="33" t="s">
        <v>693</v>
      </c>
      <c r="K45" s="33">
        <v>438</v>
      </c>
      <c r="L45" s="33" t="s">
        <v>694</v>
      </c>
      <c r="M45" s="33" t="s">
        <v>11</v>
      </c>
      <c r="N45" s="33" t="s">
        <v>695</v>
      </c>
      <c r="O45" s="33" t="s">
        <v>467</v>
      </c>
      <c r="P45" s="36"/>
      <c r="Q45" s="33" t="s">
        <v>696</v>
      </c>
      <c r="R45" s="33" t="s">
        <v>646</v>
      </c>
      <c r="S45" s="33" t="s">
        <v>5</v>
      </c>
      <c r="T45" s="33" t="s">
        <v>37</v>
      </c>
      <c r="U45" s="36"/>
      <c r="V45" s="33" t="s">
        <v>1426</v>
      </c>
      <c r="W45" s="33">
        <v>945000002268654</v>
      </c>
      <c r="X45" s="33" t="s">
        <v>359</v>
      </c>
      <c r="Y45" s="35" t="s">
        <v>359</v>
      </c>
      <c r="Z45" s="33" t="s">
        <v>647</v>
      </c>
      <c r="AA45" s="33" t="s">
        <v>648</v>
      </c>
      <c r="AB45" s="33" t="s">
        <v>1427</v>
      </c>
      <c r="AC45" s="33" t="s">
        <v>1428</v>
      </c>
      <c r="AD45" s="36"/>
      <c r="AE45" s="36"/>
      <c r="AF45" s="204" t="str">
        <f>HYPERLINK("https://drive.google.com/open?id=17Aj_aJLUPqVS9n8gnTRJ2KEzoZMz14DU","Skener_20210726 (7).png")</f>
        <v>Skener_20210726 (7).png</v>
      </c>
      <c r="AG45" s="204" t="str">
        <f>HYPERLINK("https://drive.google.com/open?id=19zt50b4Usw4hQFuMH2c2ZkxeWX2KjH_4","Skener_20210726 (3).png")</f>
        <v>Skener_20210726 (3).png</v>
      </c>
      <c r="AH45" s="204" t="str">
        <f>HYPERLINK("https://drive.google.com/open?id=1j6yt72AMDfkPswtI3phvBJLHFSZSitqg","Skener_20210726 (4).png")</f>
        <v>Skener_20210726 (4).png</v>
      </c>
      <c r="AI45" s="204" t="str">
        <f>HYPERLINK("https://drive.google.com/open?id=1xqxpILX5qsb7IS51Mgeu-0ISPBsJ61EZ","Skener_20210726 (3).png")</f>
        <v>Skener_20210726 (3).png</v>
      </c>
      <c r="AJ45" s="204" t="str">
        <f>HYPERLINK("https://drive.google.com/open?id=1BlCIFF3Wy200NC8HjdYPydrwI0UzKzb4","Skener_20210726 (4).png")</f>
        <v>Skener_20210726 (4).png</v>
      </c>
      <c r="AK45" s="204" t="str">
        <f>HYPERLINK("https://drive.google.com/open?id=1nArdYjXP8ObEa4eCcIAQhwaWfy3e2I76","Skener_20210726 (6).png")</f>
        <v>Skener_20210726 (6).png</v>
      </c>
      <c r="AL45" s="33" t="s">
        <v>4</v>
      </c>
      <c r="AM45" s="36"/>
      <c r="AN45" s="33" t="s">
        <v>697</v>
      </c>
      <c r="AO45" s="33" t="s">
        <v>359</v>
      </c>
      <c r="AP45" s="33" t="s">
        <v>359</v>
      </c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3"/>
      <c r="BH45" s="37"/>
      <c r="BI45" s="37"/>
      <c r="BJ45" s="37"/>
      <c r="BK45" s="37"/>
    </row>
    <row r="46" spans="1:63" ht="23.25" customHeight="1">
      <c r="A46" s="62">
        <v>7</v>
      </c>
      <c r="B46" s="32">
        <v>17</v>
      </c>
      <c r="C46" s="64">
        <v>1</v>
      </c>
      <c r="D46" s="64" t="s">
        <v>54</v>
      </c>
      <c r="E46" s="64"/>
      <c r="F46" s="64" t="s">
        <v>23</v>
      </c>
      <c r="G46" s="64" t="s">
        <v>114</v>
      </c>
      <c r="H46" s="76" t="s">
        <v>115</v>
      </c>
      <c r="I46" s="64"/>
      <c r="J46" s="27" t="s">
        <v>116</v>
      </c>
      <c r="K46" s="64">
        <v>1076</v>
      </c>
      <c r="L46" s="64" t="s">
        <v>117</v>
      </c>
      <c r="M46" s="64" t="s">
        <v>17</v>
      </c>
      <c r="N46" s="64">
        <v>29306</v>
      </c>
      <c r="O46" s="27" t="s">
        <v>118</v>
      </c>
      <c r="P46" s="64"/>
      <c r="Q46" s="64" t="s">
        <v>119</v>
      </c>
      <c r="R46" s="64" t="s">
        <v>120</v>
      </c>
      <c r="S46" s="64" t="s">
        <v>5</v>
      </c>
      <c r="T46" s="64" t="s">
        <v>24</v>
      </c>
      <c r="U46" s="64"/>
      <c r="V46" s="77" t="s">
        <v>1609</v>
      </c>
      <c r="W46" s="78">
        <v>981020000413147</v>
      </c>
      <c r="X46" s="64" t="s">
        <v>121</v>
      </c>
      <c r="Y46" s="65" t="s">
        <v>122</v>
      </c>
      <c r="Z46" s="64" t="s">
        <v>123</v>
      </c>
      <c r="AA46" s="64" t="s">
        <v>124</v>
      </c>
      <c r="AB46" s="64" t="s">
        <v>1610</v>
      </c>
      <c r="AC46" s="64" t="s">
        <v>1482</v>
      </c>
      <c r="AD46" s="64"/>
      <c r="AE46" s="64"/>
      <c r="AF46" s="79" t="str">
        <f>HYPERLINK("https://drive.google.com/open?id=1Dxe-3mgVHJpPT_tX2V9k_rwb8oOtfcSP","platba Klubovka 2021.pdf")</f>
        <v>platba Klubovka 2021.pdf</v>
      </c>
      <c r="AG46" s="64"/>
      <c r="AH46" s="64"/>
      <c r="AI46" s="79" t="str">
        <f>HYPERLINK("https://drive.google.com/open?id=1vA1ClzwmpRPZh22YyOQfZ8OCj2R-yPwi","Simon pp1.JPG")</f>
        <v>Simon pp1.JPG</v>
      </c>
      <c r="AJ46" s="79" t="str">
        <f>HYPERLINK("https://drive.google.com/open?id=1H-Ispo3N-MUR_eScBNE9hAw8EnqQc2xA","Simonn pp2.JPG")</f>
        <v>Simonn pp2.JPG</v>
      </c>
      <c r="AK46" s="64"/>
      <c r="AL46" s="64" t="s">
        <v>4</v>
      </c>
      <c r="AM46" s="64"/>
      <c r="AN46" s="64" t="s">
        <v>1611</v>
      </c>
      <c r="AO46" s="64" t="s">
        <v>33</v>
      </c>
      <c r="AP46" s="64" t="s">
        <v>25</v>
      </c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</row>
    <row r="47" spans="1:63" ht="23.25" customHeight="1">
      <c r="A47" s="85">
        <v>57</v>
      </c>
      <c r="B47" s="32">
        <v>13</v>
      </c>
      <c r="C47" s="64">
        <v>1</v>
      </c>
      <c r="D47" s="64" t="s">
        <v>54</v>
      </c>
      <c r="E47" s="64" t="s">
        <v>191</v>
      </c>
      <c r="F47" s="64" t="s">
        <v>35</v>
      </c>
      <c r="G47" s="64" t="s">
        <v>477</v>
      </c>
      <c r="H47" s="90" t="s">
        <v>478</v>
      </c>
      <c r="I47" s="86"/>
      <c r="J47" s="64" t="s">
        <v>493</v>
      </c>
      <c r="K47" s="64">
        <v>19</v>
      </c>
      <c r="L47" s="64" t="s">
        <v>480</v>
      </c>
      <c r="M47" s="64" t="s">
        <v>1</v>
      </c>
      <c r="N47" s="64" t="s">
        <v>481</v>
      </c>
      <c r="O47" s="64" t="s">
        <v>482</v>
      </c>
      <c r="P47" s="86"/>
      <c r="Q47" s="64" t="s">
        <v>501</v>
      </c>
      <c r="R47" s="64" t="s">
        <v>502</v>
      </c>
      <c r="S47" s="64" t="s">
        <v>5</v>
      </c>
      <c r="T47" s="64" t="s">
        <v>24</v>
      </c>
      <c r="U47" s="86"/>
      <c r="V47" s="64" t="s">
        <v>1602</v>
      </c>
      <c r="W47" s="64">
        <v>43313</v>
      </c>
      <c r="X47" s="64" t="s">
        <v>503</v>
      </c>
      <c r="Y47" s="65" t="s">
        <v>122</v>
      </c>
      <c r="Z47" s="64" t="s">
        <v>504</v>
      </c>
      <c r="AA47" s="64" t="s">
        <v>505</v>
      </c>
      <c r="AB47" s="64" t="s">
        <v>1495</v>
      </c>
      <c r="AC47" s="64" t="s">
        <v>1533</v>
      </c>
      <c r="AD47" s="86"/>
      <c r="AE47" s="86"/>
      <c r="AF47" s="87" t="str">
        <f>HYPERLINK("https://drive.google.com/open?id=12n73_VbBYF5UBzo8F-SqCPFhNsAN0mgR","platba Prokopová.jpeg")</f>
        <v>platba Prokopová.jpeg</v>
      </c>
      <c r="AG47" s="86"/>
      <c r="AH47" s="86"/>
      <c r="AI47" s="87" t="str">
        <f>HYPERLINK("https://drive.google.com/open?id=1zJvH5kQ7BJ-uNj92hgnNWH758O6rmnrN","Orry pp.jpg")</f>
        <v>Orry pp.jpg</v>
      </c>
      <c r="AJ47" s="86"/>
      <c r="AK47" s="86"/>
      <c r="AL47" s="64" t="s">
        <v>4</v>
      </c>
      <c r="AM47" s="86"/>
      <c r="AN47" s="64" t="s">
        <v>506</v>
      </c>
      <c r="AO47" s="64" t="s">
        <v>25</v>
      </c>
      <c r="AP47" s="64" t="s">
        <v>25</v>
      </c>
      <c r="AQ47" s="86"/>
      <c r="AR47" s="86"/>
      <c r="AS47" s="86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64"/>
      <c r="BH47" s="89"/>
      <c r="BI47" s="89"/>
      <c r="BJ47" s="89"/>
      <c r="BK47" s="89"/>
    </row>
    <row r="48" spans="1:63" ht="23.25" customHeight="1">
      <c r="A48" s="85">
        <v>53</v>
      </c>
      <c r="B48" s="32">
        <v>21</v>
      </c>
      <c r="C48" s="64">
        <v>1</v>
      </c>
      <c r="D48" s="64" t="s">
        <v>54</v>
      </c>
      <c r="E48" s="64" t="s">
        <v>191</v>
      </c>
      <c r="F48" s="64" t="s">
        <v>35</v>
      </c>
      <c r="G48" s="64" t="s">
        <v>477</v>
      </c>
      <c r="H48" s="90" t="s">
        <v>478</v>
      </c>
      <c r="I48" s="86"/>
      <c r="J48" s="64" t="s">
        <v>479</v>
      </c>
      <c r="K48" s="64">
        <v>19</v>
      </c>
      <c r="L48" s="64" t="s">
        <v>480</v>
      </c>
      <c r="M48" s="64" t="s">
        <v>1</v>
      </c>
      <c r="N48" s="64" t="s">
        <v>481</v>
      </c>
      <c r="O48" s="64" t="s">
        <v>482</v>
      </c>
      <c r="P48" s="86"/>
      <c r="Q48" s="64" t="s">
        <v>483</v>
      </c>
      <c r="R48" s="64" t="s">
        <v>484</v>
      </c>
      <c r="S48" s="64" t="s">
        <v>5</v>
      </c>
      <c r="T48" s="64" t="s">
        <v>24</v>
      </c>
      <c r="U48" s="86"/>
      <c r="V48" s="64" t="s">
        <v>1617</v>
      </c>
      <c r="W48" s="64">
        <v>63528</v>
      </c>
      <c r="X48" s="64" t="s">
        <v>485</v>
      </c>
      <c r="Y48" s="65" t="s">
        <v>122</v>
      </c>
      <c r="Z48" s="64" t="s">
        <v>486</v>
      </c>
      <c r="AA48" s="64" t="s">
        <v>487</v>
      </c>
      <c r="AB48" s="64" t="s">
        <v>1533</v>
      </c>
      <c r="AC48" s="64" t="s">
        <v>1533</v>
      </c>
      <c r="AD48" s="86"/>
      <c r="AE48" s="86"/>
      <c r="AF48" s="87" t="str">
        <f>HYPERLINK("https://drive.google.com/open?id=1pKChbIdF6W8rZcS_tkxogU3e1T7_SsoP","platba Prokopová.jpeg")</f>
        <v>platba Prokopová.jpeg</v>
      </c>
      <c r="AG48" s="86"/>
      <c r="AH48" s="86"/>
      <c r="AI48" s="87" t="str">
        <f>HYPERLINK("https://drive.google.com/open?id=1rZMGlx5vlRdH1gMaTmRHE7rTOeQ3QvRV","Vanessa rodokmen.jpg")</f>
        <v>Vanessa rodokmen.jpg</v>
      </c>
      <c r="AJ48" s="86"/>
      <c r="AK48" s="86"/>
      <c r="AL48" s="64" t="s">
        <v>4</v>
      </c>
      <c r="AM48" s="86"/>
      <c r="AN48" s="64" t="s">
        <v>488</v>
      </c>
      <c r="AO48" s="64" t="s">
        <v>25</v>
      </c>
      <c r="AP48" s="64" t="s">
        <v>25</v>
      </c>
      <c r="AQ48" s="86"/>
      <c r="AR48" s="86"/>
      <c r="AS48" s="86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64"/>
      <c r="BH48" s="89"/>
      <c r="BI48" s="89"/>
      <c r="BJ48" s="89"/>
      <c r="BK48" s="89"/>
    </row>
    <row r="49" spans="1:63" ht="23.25" customHeight="1">
      <c r="A49" s="85">
        <v>55</v>
      </c>
      <c r="B49" s="32">
        <v>30</v>
      </c>
      <c r="C49" s="64">
        <v>1</v>
      </c>
      <c r="D49" s="64" t="s">
        <v>42</v>
      </c>
      <c r="E49" s="64" t="s">
        <v>191</v>
      </c>
      <c r="F49" s="64" t="s">
        <v>35</v>
      </c>
      <c r="G49" s="64" t="s">
        <v>477</v>
      </c>
      <c r="H49" s="90" t="s">
        <v>478</v>
      </c>
      <c r="I49" s="86"/>
      <c r="J49" s="64" t="s">
        <v>493</v>
      </c>
      <c r="K49" s="64">
        <v>19</v>
      </c>
      <c r="L49" s="64" t="s">
        <v>480</v>
      </c>
      <c r="M49" s="64" t="s">
        <v>1</v>
      </c>
      <c r="N49" s="64" t="s">
        <v>481</v>
      </c>
      <c r="O49" s="64" t="s">
        <v>482</v>
      </c>
      <c r="P49" s="86"/>
      <c r="Q49" s="64" t="s">
        <v>494</v>
      </c>
      <c r="R49" s="64" t="s">
        <v>484</v>
      </c>
      <c r="S49" s="64" t="s">
        <v>5</v>
      </c>
      <c r="T49" s="64" t="s">
        <v>24</v>
      </c>
      <c r="U49" s="86"/>
      <c r="V49" s="64" t="s">
        <v>1532</v>
      </c>
      <c r="W49" s="64">
        <v>203164000056043</v>
      </c>
      <c r="X49" s="64" t="s">
        <v>495</v>
      </c>
      <c r="Y49" s="65" t="s">
        <v>122</v>
      </c>
      <c r="Z49" s="64" t="s">
        <v>496</v>
      </c>
      <c r="AA49" s="64" t="s">
        <v>497</v>
      </c>
      <c r="AB49" s="64" t="s">
        <v>1533</v>
      </c>
      <c r="AC49" s="64" t="s">
        <v>1533</v>
      </c>
      <c r="AD49" s="86"/>
      <c r="AE49" s="86"/>
      <c r="AF49" s="87" t="str">
        <f>HYPERLINK("https://drive.google.com/open?id=1XLYDizOLu-F8T_N2kIeFF-gewpfDCC-d","platba Prokopová.jpeg")</f>
        <v>platba Prokopová.jpeg</v>
      </c>
      <c r="AG49" s="86"/>
      <c r="AH49" s="86"/>
      <c r="AI49" s="87" t="str">
        <f>HYPERLINK("https://drive.google.com/open?id=1HXQnBsw7zxcUh16_U_py6Y_zUoXPWnSl","CAiron pp.jpeg")</f>
        <v>CAiron pp.jpeg</v>
      </c>
      <c r="AJ49" s="86"/>
      <c r="AK49" s="86"/>
      <c r="AL49" s="64" t="s">
        <v>4</v>
      </c>
      <c r="AM49" s="86"/>
      <c r="AN49" s="64" t="s">
        <v>498</v>
      </c>
      <c r="AO49" s="64" t="s">
        <v>25</v>
      </c>
      <c r="AP49" s="64" t="s">
        <v>25</v>
      </c>
      <c r="AQ49" s="86"/>
      <c r="AR49" s="86"/>
      <c r="AS49" s="86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64"/>
      <c r="BH49" s="89"/>
      <c r="BI49" s="89"/>
      <c r="BJ49" s="89"/>
      <c r="BK49" s="89"/>
    </row>
    <row r="50" spans="1:63" ht="23.25" customHeight="1">
      <c r="A50" s="38">
        <v>25</v>
      </c>
      <c r="B50" s="32">
        <v>15</v>
      </c>
      <c r="C50" s="40">
        <v>1</v>
      </c>
      <c r="D50" s="40" t="s">
        <v>158</v>
      </c>
      <c r="E50" s="40" t="s">
        <v>191</v>
      </c>
      <c r="F50" s="40" t="s">
        <v>100</v>
      </c>
      <c r="G50" s="40" t="s">
        <v>251</v>
      </c>
      <c r="H50" s="40" t="s">
        <v>272</v>
      </c>
      <c r="I50" s="40"/>
      <c r="J50" s="40" t="s">
        <v>253</v>
      </c>
      <c r="K50" s="40">
        <v>35</v>
      </c>
      <c r="L50" s="40" t="s">
        <v>15</v>
      </c>
      <c r="M50" s="40" t="s">
        <v>17</v>
      </c>
      <c r="N50" s="40"/>
      <c r="O50" s="40"/>
      <c r="P50" s="40"/>
      <c r="Q50" s="40" t="s">
        <v>273</v>
      </c>
      <c r="R50" s="153" t="s">
        <v>266</v>
      </c>
      <c r="S50" s="40" t="s">
        <v>5</v>
      </c>
      <c r="T50" s="40" t="s">
        <v>255</v>
      </c>
      <c r="U50" s="40"/>
      <c r="V50" s="40" t="s">
        <v>1605</v>
      </c>
      <c r="W50" s="40" t="s">
        <v>274</v>
      </c>
      <c r="X50" s="40" t="s">
        <v>127</v>
      </c>
      <c r="Y50" s="41" t="s">
        <v>359</v>
      </c>
      <c r="Z50" s="40" t="s">
        <v>275</v>
      </c>
      <c r="AA50" s="40" t="s">
        <v>276</v>
      </c>
      <c r="AB50" s="40" t="s">
        <v>1446</v>
      </c>
      <c r="AC50" s="40" t="s">
        <v>1412</v>
      </c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 t="s">
        <v>277</v>
      </c>
      <c r="AO50" s="40" t="s">
        <v>271</v>
      </c>
      <c r="AP50" s="40" t="s">
        <v>25</v>
      </c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</row>
    <row r="51" spans="1:63" ht="23.25" customHeight="1">
      <c r="A51" s="38">
        <v>22</v>
      </c>
      <c r="B51" s="32">
        <v>59</v>
      </c>
      <c r="C51" s="40">
        <v>1</v>
      </c>
      <c r="D51" s="40" t="s">
        <v>259</v>
      </c>
      <c r="E51" s="40" t="s">
        <v>191</v>
      </c>
      <c r="F51" s="40" t="s">
        <v>100</v>
      </c>
      <c r="G51" s="40" t="s">
        <v>251</v>
      </c>
      <c r="H51" s="40" t="s">
        <v>252</v>
      </c>
      <c r="I51" s="40"/>
      <c r="J51" s="40" t="s">
        <v>253</v>
      </c>
      <c r="K51" s="40">
        <v>35</v>
      </c>
      <c r="L51" s="40" t="s">
        <v>15</v>
      </c>
      <c r="M51" s="40" t="s">
        <v>17</v>
      </c>
      <c r="N51" s="40"/>
      <c r="O51" s="40"/>
      <c r="P51" s="40"/>
      <c r="Q51" s="40" t="s">
        <v>260</v>
      </c>
      <c r="R51" s="40" t="s">
        <v>261</v>
      </c>
      <c r="S51" s="40" t="s">
        <v>5</v>
      </c>
      <c r="T51" s="40" t="s">
        <v>255</v>
      </c>
      <c r="U51" s="40"/>
      <c r="V51" s="40" t="s">
        <v>1411</v>
      </c>
      <c r="W51" s="40">
        <v>956000007391076</v>
      </c>
      <c r="X51" s="40" t="s">
        <v>359</v>
      </c>
      <c r="Y51" s="41" t="s">
        <v>359</v>
      </c>
      <c r="Z51" s="40" t="s">
        <v>256</v>
      </c>
      <c r="AA51" s="40" t="s">
        <v>262</v>
      </c>
      <c r="AB51" s="40" t="s">
        <v>1412</v>
      </c>
      <c r="AC51" s="40" t="s">
        <v>1412</v>
      </c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 t="s">
        <v>359</v>
      </c>
      <c r="AP51" s="40" t="s">
        <v>359</v>
      </c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</row>
    <row r="52" spans="1:63" ht="23.25" customHeight="1">
      <c r="A52" s="42">
        <v>43</v>
      </c>
      <c r="B52" s="32">
        <v>18</v>
      </c>
      <c r="C52" s="56">
        <v>1</v>
      </c>
      <c r="D52" s="56" t="s">
        <v>406</v>
      </c>
      <c r="E52" s="56" t="s">
        <v>191</v>
      </c>
      <c r="F52" s="56" t="s">
        <v>407</v>
      </c>
      <c r="G52" s="56" t="s">
        <v>408</v>
      </c>
      <c r="H52" s="56" t="s">
        <v>409</v>
      </c>
      <c r="I52" s="104"/>
      <c r="J52" s="56" t="s">
        <v>410</v>
      </c>
      <c r="K52" s="56">
        <v>37</v>
      </c>
      <c r="L52" s="56" t="s">
        <v>15</v>
      </c>
      <c r="M52" s="56" t="s">
        <v>1</v>
      </c>
      <c r="N52" s="56">
        <v>58601</v>
      </c>
      <c r="O52" s="56" t="s">
        <v>411</v>
      </c>
      <c r="P52" s="104"/>
      <c r="Q52" s="56" t="s">
        <v>412</v>
      </c>
      <c r="R52" s="56" t="s">
        <v>266</v>
      </c>
      <c r="S52" s="56" t="s">
        <v>5</v>
      </c>
      <c r="T52" s="56" t="s">
        <v>255</v>
      </c>
      <c r="U52" s="104"/>
      <c r="V52" s="56" t="s">
        <v>1612</v>
      </c>
      <c r="W52" s="56" t="s">
        <v>413</v>
      </c>
      <c r="X52" s="56" t="s">
        <v>127</v>
      </c>
      <c r="Y52" s="59" t="s">
        <v>414</v>
      </c>
      <c r="Z52" s="56" t="s">
        <v>415</v>
      </c>
      <c r="AA52" s="56" t="s">
        <v>379</v>
      </c>
      <c r="AB52" s="56" t="s">
        <v>1446</v>
      </c>
      <c r="AC52" s="56" t="s">
        <v>1439</v>
      </c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6"/>
      <c r="BH52" s="56"/>
      <c r="BI52" s="56"/>
      <c r="BJ52" s="56"/>
      <c r="BK52" s="56"/>
    </row>
    <row r="53" spans="1:63" ht="23.25" customHeight="1">
      <c r="A53" s="42">
        <v>129</v>
      </c>
      <c r="B53" s="32">
        <v>10</v>
      </c>
      <c r="C53" s="44">
        <v>1</v>
      </c>
      <c r="D53" s="44" t="s">
        <v>54</v>
      </c>
      <c r="E53" s="44" t="s">
        <v>191</v>
      </c>
      <c r="F53" s="44" t="s">
        <v>1010</v>
      </c>
      <c r="G53" s="44" t="s">
        <v>1011</v>
      </c>
      <c r="H53" s="125" t="s">
        <v>1012</v>
      </c>
      <c r="I53" s="45"/>
      <c r="J53" s="44" t="s">
        <v>511</v>
      </c>
      <c r="K53" s="44">
        <v>181</v>
      </c>
      <c r="L53" s="44" t="s">
        <v>511</v>
      </c>
      <c r="M53" s="44" t="s">
        <v>680</v>
      </c>
      <c r="N53" s="44">
        <v>38208</v>
      </c>
      <c r="O53" s="44" t="s">
        <v>1013</v>
      </c>
      <c r="P53" s="45"/>
      <c r="Q53" s="44" t="s">
        <v>1014</v>
      </c>
      <c r="R53" s="44" t="s">
        <v>200</v>
      </c>
      <c r="S53" s="44" t="s">
        <v>5</v>
      </c>
      <c r="T53" s="44" t="s">
        <v>24</v>
      </c>
      <c r="U53" s="45"/>
      <c r="V53" s="44" t="s">
        <v>1598</v>
      </c>
      <c r="W53" s="44" t="s">
        <v>1015</v>
      </c>
      <c r="X53" s="44" t="s">
        <v>1016</v>
      </c>
      <c r="Y53" s="46" t="s">
        <v>122</v>
      </c>
      <c r="Z53" s="44" t="s">
        <v>1017</v>
      </c>
      <c r="AA53" s="44" t="s">
        <v>1018</v>
      </c>
      <c r="AB53" s="44" t="s">
        <v>1495</v>
      </c>
      <c r="AC53" s="44" t="s">
        <v>1599</v>
      </c>
      <c r="AD53" s="45"/>
      <c r="AE53" s="68" t="str">
        <f>HYPERLINK("https://drive.google.com/open?id=1tH6Fvapctyx5_ATT9iAxEzBI59TC9Xru","Borek a Moris.JPG")</f>
        <v>Borek a Moris.JPG</v>
      </c>
      <c r="AF53" s="68" t="str">
        <f>HYPERLINK("https://drive.google.com/open?id=1ywAniFqqguvbWYBY-5Te6HoMrN_eAvN1","Morris (5).png")</f>
        <v>Morris (5).png</v>
      </c>
      <c r="AG53" s="68" t="str">
        <f>HYPERLINK("https://drive.google.com/open?id=1hfftDZ1kCkNWFHtR43ZhnVE8DASxkDrZ","Morris (8).png")</f>
        <v>Morris (8).png</v>
      </c>
      <c r="AH53" s="68" t="str">
        <f>HYPERLINK("https://drive.google.com/open?id=15rbTmxmmNCfkLon8XMmO_3HCD3meOTUn","Morris (6).png")</f>
        <v>Morris (6).png</v>
      </c>
      <c r="AI53" s="68" t="str">
        <f>HYPERLINK("https://drive.google.com/open?id=1Il5FvPD9Pbd3gv6mESbhOUClbCX13AjD","Morris (4).png")</f>
        <v>Morris (4).png</v>
      </c>
      <c r="AJ53" s="68" t="str">
        <f>HYPERLINK("https://drive.google.com/open?id=14H1WQFO1D37ZPX0Sr8pHSQKyLqMkOD5E","morris.png")</f>
        <v>morris.png</v>
      </c>
      <c r="AK53" s="68" t="str">
        <f>HYPERLINK("https://drive.google.com/open?id=1RqmcJ7ph4zNsx1cPEPcF7dC61W8hr5cj","Morris (2).png")</f>
        <v>Morris (2).png</v>
      </c>
      <c r="AL53" s="44" t="s">
        <v>4</v>
      </c>
      <c r="AM53" s="45"/>
      <c r="AN53" s="44" t="s">
        <v>1019</v>
      </c>
      <c r="AO53" s="44" t="s">
        <v>25</v>
      </c>
      <c r="AP53" s="44" t="s">
        <v>25</v>
      </c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</row>
    <row r="54" spans="1:63" ht="63.75">
      <c r="A54" s="31">
        <v>70</v>
      </c>
      <c r="B54" s="32">
        <v>56</v>
      </c>
      <c r="C54" s="64">
        <v>1</v>
      </c>
      <c r="D54" s="64" t="s">
        <v>82</v>
      </c>
      <c r="E54" s="64" t="s">
        <v>205</v>
      </c>
      <c r="F54" s="64" t="s">
        <v>13</v>
      </c>
      <c r="G54" s="64" t="s">
        <v>611</v>
      </c>
      <c r="H54" s="90" t="s">
        <v>612</v>
      </c>
      <c r="I54" s="86"/>
      <c r="J54" s="64" t="s">
        <v>613</v>
      </c>
      <c r="K54" s="64">
        <v>5215</v>
      </c>
      <c r="L54" s="64" t="s">
        <v>614</v>
      </c>
      <c r="M54" s="64" t="s">
        <v>11</v>
      </c>
      <c r="N54" s="64">
        <v>43005</v>
      </c>
      <c r="O54" s="64" t="s">
        <v>615</v>
      </c>
      <c r="P54" s="86"/>
      <c r="Q54" s="64" t="s">
        <v>616</v>
      </c>
      <c r="R54" s="64" t="s">
        <v>617</v>
      </c>
      <c r="S54" s="64" t="s">
        <v>5</v>
      </c>
      <c r="T54" s="64" t="s">
        <v>37</v>
      </c>
      <c r="U54" s="64"/>
      <c r="V54" s="64" t="s">
        <v>1474</v>
      </c>
      <c r="W54" s="64">
        <v>945000002291042</v>
      </c>
      <c r="X54" s="64" t="s">
        <v>359</v>
      </c>
      <c r="Y54" s="65" t="s">
        <v>359</v>
      </c>
      <c r="Z54" s="64" t="s">
        <v>618</v>
      </c>
      <c r="AA54" s="64" t="s">
        <v>619</v>
      </c>
      <c r="AB54" s="64" t="s">
        <v>1475</v>
      </c>
      <c r="AC54" s="64" t="s">
        <v>620</v>
      </c>
      <c r="AD54" s="86"/>
      <c r="AE54" s="86"/>
      <c r="AF54" s="87" t="str">
        <f>HYPERLINK("https://drive.google.com/open?id=1xexN7ibk-APt3vBtQes7M3jl64g4MXXI","KB_screenshot_25072021_21303446.png")</f>
        <v>KB_screenshot_25072021_21303446.png</v>
      </c>
      <c r="AG54" s="87" t="str">
        <f>HYPERLINK("https://drive.google.com/open?id=1K2zgXbWd3e4oUW8VQQ4O8bjwxRNnfk9_","16272415261827356507624970554739.jpg")</f>
        <v>16272415261827356507624970554739.jpg</v>
      </c>
      <c r="AH54" s="86"/>
      <c r="AI54" s="87" t="str">
        <f>HYPERLINK("https://drive.google.com/open?id=1Md2SdUhAXz8bsA7wP83DiWDuscN435tO","20210725_211049.jpg")</f>
        <v>20210725_211049.jpg</v>
      </c>
      <c r="AJ54" s="87" t="str">
        <f>HYPERLINK("https://drive.google.com/open?id=1FrqAuUGRrchA8tIUos1Ezu3-IqBc1XHX","20210725_210949.jpg")</f>
        <v>20210725_210949.jpg</v>
      </c>
      <c r="AK54" s="86"/>
      <c r="AL54" s="64" t="s">
        <v>4</v>
      </c>
      <c r="AM54" s="86"/>
      <c r="AN54" s="64" t="s">
        <v>621</v>
      </c>
      <c r="AO54" s="64" t="s">
        <v>359</v>
      </c>
      <c r="AP54" s="64" t="s">
        <v>359</v>
      </c>
      <c r="AQ54" s="86"/>
      <c r="AR54" s="86"/>
      <c r="AS54" s="86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64"/>
      <c r="BH54" s="89"/>
      <c r="BI54" s="89"/>
      <c r="BJ54" s="89"/>
      <c r="BK54" s="89"/>
    </row>
    <row r="55" spans="1:63" ht="23.25" customHeight="1">
      <c r="A55" s="42">
        <v>165</v>
      </c>
      <c r="B55" s="32">
        <v>26</v>
      </c>
      <c r="C55" s="44">
        <v>1</v>
      </c>
      <c r="D55" s="44" t="s">
        <v>158</v>
      </c>
      <c r="E55" s="44" t="s">
        <v>205</v>
      </c>
      <c r="F55" s="44" t="s">
        <v>0</v>
      </c>
      <c r="G55" s="44" t="s">
        <v>1247</v>
      </c>
      <c r="H55" s="44">
        <v>605589369</v>
      </c>
      <c r="I55" s="44"/>
      <c r="J55" s="44" t="s">
        <v>1248</v>
      </c>
      <c r="K55" s="44">
        <v>201</v>
      </c>
      <c r="L55" s="44" t="s">
        <v>1248</v>
      </c>
      <c r="M55" s="45"/>
      <c r="N55" s="44">
        <v>37322</v>
      </c>
      <c r="O55" s="45"/>
      <c r="P55" s="45"/>
      <c r="Q55" s="44" t="s">
        <v>1249</v>
      </c>
      <c r="R55" s="44" t="s">
        <v>1218</v>
      </c>
      <c r="S55" s="44" t="s">
        <v>5</v>
      </c>
      <c r="T55" s="44" t="s">
        <v>704</v>
      </c>
      <c r="U55" s="45"/>
      <c r="V55" s="44" t="s">
        <v>1627</v>
      </c>
      <c r="W55" s="44" t="s">
        <v>1250</v>
      </c>
      <c r="X55" s="44" t="s">
        <v>1251</v>
      </c>
      <c r="Y55" s="46" t="s">
        <v>1252</v>
      </c>
      <c r="Z55" s="44" t="s">
        <v>1253</v>
      </c>
      <c r="AA55" s="44" t="s">
        <v>1254</v>
      </c>
      <c r="AB55" s="44" t="s">
        <v>1223</v>
      </c>
      <c r="AC55" s="44" t="s">
        <v>1255</v>
      </c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4" t="s">
        <v>1256</v>
      </c>
      <c r="AO55" s="44" t="s">
        <v>25</v>
      </c>
      <c r="AP55" s="44" t="s">
        <v>25</v>
      </c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</row>
    <row r="56" spans="1:63" ht="23.25" customHeight="1">
      <c r="A56" s="38">
        <v>18</v>
      </c>
      <c r="B56" s="32">
        <v>16</v>
      </c>
      <c r="C56" s="40">
        <v>1</v>
      </c>
      <c r="D56" s="40" t="s">
        <v>54</v>
      </c>
      <c r="E56" s="40" t="s">
        <v>191</v>
      </c>
      <c r="F56" s="40" t="s">
        <v>218</v>
      </c>
      <c r="G56" s="40" t="s">
        <v>219</v>
      </c>
      <c r="H56" s="91" t="s">
        <v>220</v>
      </c>
      <c r="I56" s="40"/>
      <c r="J56" s="40" t="s">
        <v>221</v>
      </c>
      <c r="K56" s="40">
        <v>407</v>
      </c>
      <c r="L56" s="40" t="s">
        <v>221</v>
      </c>
      <c r="M56" s="40" t="s">
        <v>1</v>
      </c>
      <c r="N56" s="40" t="s">
        <v>222</v>
      </c>
      <c r="O56" s="40" t="s">
        <v>223</v>
      </c>
      <c r="P56" s="40"/>
      <c r="Q56" s="40" t="s">
        <v>224</v>
      </c>
      <c r="R56" s="40" t="s">
        <v>225</v>
      </c>
      <c r="S56" s="40" t="s">
        <v>5</v>
      </c>
      <c r="T56" s="40" t="s">
        <v>24</v>
      </c>
      <c r="U56" s="40"/>
      <c r="V56" s="40" t="s">
        <v>1607</v>
      </c>
      <c r="W56" s="40" t="s">
        <v>226</v>
      </c>
      <c r="X56" s="40" t="s">
        <v>227</v>
      </c>
      <c r="Y56" s="41" t="s">
        <v>228</v>
      </c>
      <c r="Z56" s="40" t="s">
        <v>229</v>
      </c>
      <c r="AA56" s="40" t="s">
        <v>230</v>
      </c>
      <c r="AB56" s="40" t="s">
        <v>1608</v>
      </c>
      <c r="AC56" s="40" t="s">
        <v>1608</v>
      </c>
      <c r="AD56" s="40"/>
      <c r="AE56" s="40"/>
      <c r="AF56" s="95" t="str">
        <f>HYPERLINK("https://drive.google.com/open?id=1Jd1LKyQfY_uxCWdl00xT2liqiQ9AD67w","platba.txt")</f>
        <v>platba.txt</v>
      </c>
      <c r="AG56" s="95" t="str">
        <f>HYPERLINK("https://drive.google.com/open?id=1ew89ctoAqA0yOHbbfn8HYyu-nAILb4CC","členství.pdf")</f>
        <v>členství.pdf</v>
      </c>
      <c r="AH56" s="95" t="str">
        <f>HYPERLINK("https://drive.google.com/open?id=1GsUaDMFqRRy9rWepROJEqUVMQ8gd_bu1","ZVV1.pdf")</f>
        <v>ZVV1.pdf</v>
      </c>
      <c r="AI56" s="95" t="str">
        <f>HYPERLINK("https://drive.google.com/open?id=1R5wc3FOKDAAEBRyytftx0d_akJcV9pk_","PP Saymon.pdf")</f>
        <v>PP Saymon.pdf</v>
      </c>
      <c r="AJ56" s="40"/>
      <c r="AK56" s="40"/>
      <c r="AL56" s="40" t="s">
        <v>4</v>
      </c>
      <c r="AM56" s="40"/>
      <c r="AN56" s="40" t="s">
        <v>231</v>
      </c>
      <c r="AO56" s="40" t="s">
        <v>25</v>
      </c>
      <c r="AP56" s="40" t="s">
        <v>25</v>
      </c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</row>
    <row r="57" spans="1:63" ht="23.25" customHeight="1">
      <c r="A57" s="69">
        <v>59</v>
      </c>
      <c r="B57" s="32">
        <v>39</v>
      </c>
      <c r="C57" s="40">
        <v>1</v>
      </c>
      <c r="D57" s="40" t="s">
        <v>42</v>
      </c>
      <c r="E57" s="40" t="s">
        <v>191</v>
      </c>
      <c r="F57" s="40" t="s">
        <v>466</v>
      </c>
      <c r="G57" s="40" t="s">
        <v>518</v>
      </c>
      <c r="H57" s="41" t="s">
        <v>519</v>
      </c>
      <c r="I57" s="80"/>
      <c r="J57" s="40" t="s">
        <v>520</v>
      </c>
      <c r="K57" s="40" t="s">
        <v>521</v>
      </c>
      <c r="L57" s="40" t="s">
        <v>208</v>
      </c>
      <c r="M57" s="40" t="s">
        <v>1</v>
      </c>
      <c r="N57" s="40">
        <v>32600</v>
      </c>
      <c r="O57" s="40" t="s">
        <v>522</v>
      </c>
      <c r="P57" s="80"/>
      <c r="Q57" s="40" t="s">
        <v>523</v>
      </c>
      <c r="R57" s="40" t="s">
        <v>200</v>
      </c>
      <c r="S57" s="40" t="s">
        <v>5</v>
      </c>
      <c r="T57" s="40" t="s">
        <v>24</v>
      </c>
      <c r="U57" s="80"/>
      <c r="V57" s="40" t="s">
        <v>1556</v>
      </c>
      <c r="W57" s="40">
        <v>941000024666572</v>
      </c>
      <c r="X57" s="40" t="s">
        <v>359</v>
      </c>
      <c r="Y57" s="41" t="s">
        <v>359</v>
      </c>
      <c r="Z57" s="40" t="s">
        <v>524</v>
      </c>
      <c r="AA57" s="40" t="s">
        <v>330</v>
      </c>
      <c r="AB57" s="40" t="s">
        <v>1495</v>
      </c>
      <c r="AC57" s="40" t="s">
        <v>1558</v>
      </c>
      <c r="AD57" s="80"/>
      <c r="AE57" s="80"/>
      <c r="AF57" s="82" t="str">
        <f>HYPERLINK("https://drive.google.com/open?id=1lu1rbrid74x6qMijMIc99gXoyfdYUBPA","219256484_527481704967616_3681156969390370735_n.jpg")</f>
        <v>219256484_527481704967616_3681156969390370735_n.jpg</v>
      </c>
      <c r="AG57" s="82" t="str">
        <f>HYPERLINK("https://drive.google.com/open?id=1qjFz58iWlPbcVtqyd-emGsFNb4VD7iY_","IMG_20210724_152723.jpg")</f>
        <v>IMG_20210724_152723.jpg</v>
      </c>
      <c r="AH57" s="80"/>
      <c r="AI57" s="82" t="str">
        <f>HYPERLINK("https://drive.google.com/open?id=1iFMHnYOAFd8BJ0FraFLXPAZG68KHgwfW","IMG_20210724_152208_1.jpg")</f>
        <v>IMG_20210724_152208_1.jpg</v>
      </c>
      <c r="AJ57" s="82" t="str">
        <f>HYPERLINK("https://drive.google.com/open?id=1rLj4AskAdAxMjWY9-wir4tgkQkEp_ktw","IMG_20210724_152214_1.jpg")</f>
        <v>IMG_20210724_152214_1.jpg</v>
      </c>
      <c r="AK57" s="80"/>
      <c r="AL57" s="40" t="s">
        <v>4</v>
      </c>
      <c r="AM57" s="80"/>
      <c r="AN57" s="40" t="s">
        <v>525</v>
      </c>
      <c r="AO57" s="40" t="s">
        <v>25</v>
      </c>
      <c r="AP57" s="40" t="s">
        <v>25</v>
      </c>
      <c r="AQ57" s="80"/>
      <c r="AR57" s="80"/>
      <c r="AS57" s="80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40"/>
      <c r="BH57" s="84"/>
      <c r="BI57" s="84"/>
      <c r="BJ57" s="84"/>
      <c r="BK57" s="84"/>
    </row>
    <row r="58" spans="1:63" ht="23.25" customHeight="1">
      <c r="A58" s="31">
        <v>133</v>
      </c>
      <c r="B58" s="32">
        <v>4</v>
      </c>
      <c r="C58" s="48">
        <v>1</v>
      </c>
      <c r="D58" s="48" t="s">
        <v>54</v>
      </c>
      <c r="E58" s="48" t="s">
        <v>191</v>
      </c>
      <c r="F58" s="48" t="s">
        <v>6</v>
      </c>
      <c r="G58" s="48" t="s">
        <v>1044</v>
      </c>
      <c r="H58" s="54" t="s">
        <v>1045</v>
      </c>
      <c r="I58" s="51"/>
      <c r="J58" s="48" t="s">
        <v>1046</v>
      </c>
      <c r="K58" s="48">
        <v>148</v>
      </c>
      <c r="L58" s="48" t="s">
        <v>974</v>
      </c>
      <c r="M58" s="48" t="s">
        <v>11</v>
      </c>
      <c r="N58" s="48">
        <v>10000</v>
      </c>
      <c r="O58" s="48" t="s">
        <v>1047</v>
      </c>
      <c r="P58" s="51"/>
      <c r="Q58" s="48" t="s">
        <v>1048</v>
      </c>
      <c r="R58" s="48" t="s">
        <v>1049</v>
      </c>
      <c r="S58" s="48" t="s">
        <v>5</v>
      </c>
      <c r="T58" s="48" t="s">
        <v>24</v>
      </c>
      <c r="U58" s="51"/>
      <c r="V58" s="48" t="s">
        <v>1589</v>
      </c>
      <c r="W58" s="48">
        <v>953010003571073</v>
      </c>
      <c r="X58" s="48" t="s">
        <v>1050</v>
      </c>
      <c r="Y58" s="52" t="s">
        <v>122</v>
      </c>
      <c r="Z58" s="48" t="s">
        <v>1051</v>
      </c>
      <c r="AA58" s="48" t="s">
        <v>379</v>
      </c>
      <c r="AB58" s="48" t="s">
        <v>1052</v>
      </c>
      <c r="AC58" s="48" t="s">
        <v>1052</v>
      </c>
      <c r="AD58" s="51"/>
      <c r="AE58" s="51"/>
      <c r="AF58" s="55" t="str">
        <f>HYPERLINK("https://drive.google.com/open?id=1oxrNT8xYKRRnk5_RCtf0waAif7FE1fDs","IMG-20210801-WA0004.jpg")</f>
        <v>IMG-20210801-WA0004.jpg</v>
      </c>
      <c r="AG58" s="55" t="str">
        <f>HYPERLINK("https://drive.google.com/open?id=1yvxZoXKuGT2mozvjJI9ZYv8rJWWMN_5W","IMG-20210801-WA0004.jpg")</f>
        <v>IMG-20210801-WA0004.jpg</v>
      </c>
      <c r="AH58" s="55" t="str">
        <f>HYPERLINK("https://drive.google.com/open?id=12E2w11JOuX6xM7qfH-vLyVbh7t2_TzKg","IMG-20210801-WA0003.jpg")</f>
        <v>IMG-20210801-WA0003.jpg</v>
      </c>
      <c r="AI58" s="55" t="str">
        <f>HYPERLINK("https://drive.google.com/open?id=14XKujdDlsC7MRANuQl3nwLPWU3-79NNI","IMG-20210801-WA0002.jpg")</f>
        <v>IMG-20210801-WA0002.jpg</v>
      </c>
      <c r="AJ58" s="51"/>
      <c r="AK58" s="55" t="str">
        <f>HYPERLINK("https://drive.google.com/open?id=11kXYOwJ5Kr2cpNx9zQPXexuqwwPgTRvI","IMG-20210801-WA0001.jpg")</f>
        <v>IMG-20210801-WA0001.jpg</v>
      </c>
      <c r="AL58" s="48" t="s">
        <v>4</v>
      </c>
      <c r="AM58" s="51"/>
      <c r="AN58" s="48" t="s">
        <v>1053</v>
      </c>
      <c r="AO58" s="48" t="s">
        <v>113</v>
      </c>
      <c r="AP58" s="48" t="s">
        <v>113</v>
      </c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</row>
    <row r="59" spans="1:63" ht="23.25" customHeight="1">
      <c r="A59" s="42">
        <v>72</v>
      </c>
      <c r="B59" s="32">
        <v>19</v>
      </c>
      <c r="C59" s="40">
        <v>1</v>
      </c>
      <c r="D59" s="40" t="s">
        <v>54</v>
      </c>
      <c r="E59" s="40" t="s">
        <v>191</v>
      </c>
      <c r="F59" s="40" t="s">
        <v>6</v>
      </c>
      <c r="G59" s="40" t="s">
        <v>628</v>
      </c>
      <c r="H59" s="41" t="s">
        <v>629</v>
      </c>
      <c r="I59" s="80"/>
      <c r="J59" s="40" t="s">
        <v>630</v>
      </c>
      <c r="K59" s="40">
        <v>15</v>
      </c>
      <c r="L59" s="40" t="s">
        <v>631</v>
      </c>
      <c r="M59" s="40" t="s">
        <v>1</v>
      </c>
      <c r="N59" s="40" t="s">
        <v>632</v>
      </c>
      <c r="O59" s="40" t="s">
        <v>633</v>
      </c>
      <c r="P59" s="80"/>
      <c r="Q59" s="40" t="s">
        <v>634</v>
      </c>
      <c r="R59" s="40" t="s">
        <v>635</v>
      </c>
      <c r="S59" s="40" t="s">
        <v>5</v>
      </c>
      <c r="T59" s="40" t="s">
        <v>24</v>
      </c>
      <c r="U59" s="40"/>
      <c r="V59" s="40" t="s">
        <v>1614</v>
      </c>
      <c r="W59" s="40">
        <v>191100000851211</v>
      </c>
      <c r="X59" s="40" t="s">
        <v>636</v>
      </c>
      <c r="Y59" s="41" t="s">
        <v>637</v>
      </c>
      <c r="Z59" s="40" t="s">
        <v>638</v>
      </c>
      <c r="AA59" s="40" t="s">
        <v>639</v>
      </c>
      <c r="AB59" s="40" t="s">
        <v>1615</v>
      </c>
      <c r="AC59" s="40" t="s">
        <v>1492</v>
      </c>
      <c r="AD59" s="80"/>
      <c r="AE59" s="80"/>
      <c r="AF59" s="82" t="str">
        <f>HYPERLINK("https://drive.google.com/open?id=1bzeysExq0J3wrs1QIV7h06PuOSA7n_vu","export_20210726_0954.pdf")</f>
        <v>export_20210726_0954.pdf</v>
      </c>
      <c r="AG59" s="82" t="str">
        <f>HYPERLINK("https://drive.google.com/open?id=1I6-0Nwx457vOqTFb0EnzSHgpUEuGKevr","img635.pdf")</f>
        <v>img635.pdf</v>
      </c>
      <c r="AH59" s="82" t="str">
        <f>HYPERLINK("https://drive.google.com/open?id=1_uRpMywrslWH-wUkQtUo3rTinF2B7jVM","img636.pdf")</f>
        <v>img636.pdf</v>
      </c>
      <c r="AI59" s="82" t="str">
        <f>HYPERLINK("https://drive.google.com/open?id=15gLy2Y3xovPMm2z5zU9UZvbm3jGH8Hsh","img637.pdf")</f>
        <v>img637.pdf</v>
      </c>
      <c r="AJ59" s="80"/>
      <c r="AK59" s="80"/>
      <c r="AL59" s="40" t="s">
        <v>4</v>
      </c>
      <c r="AM59" s="80"/>
      <c r="AN59" s="40" t="s">
        <v>640</v>
      </c>
      <c r="AO59" s="40" t="s">
        <v>25</v>
      </c>
      <c r="AP59" s="40" t="s">
        <v>25</v>
      </c>
      <c r="AQ59" s="80"/>
      <c r="AR59" s="80"/>
      <c r="AS59" s="80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40"/>
      <c r="BH59" s="84"/>
      <c r="BI59" s="84"/>
      <c r="BJ59" s="84"/>
      <c r="BK59" s="84"/>
    </row>
    <row r="60" spans="1:63" ht="23.25" customHeight="1">
      <c r="A60" s="150">
        <v>62</v>
      </c>
      <c r="B60" s="32">
        <v>5</v>
      </c>
      <c r="C60" s="132">
        <v>1</v>
      </c>
      <c r="D60" s="128" t="s">
        <v>54</v>
      </c>
      <c r="E60" s="128" t="s">
        <v>191</v>
      </c>
      <c r="F60" s="128" t="s">
        <v>548</v>
      </c>
      <c r="G60" s="128" t="s">
        <v>549</v>
      </c>
      <c r="H60" s="169" t="s">
        <v>550</v>
      </c>
      <c r="I60" s="170"/>
      <c r="J60" s="128" t="s">
        <v>551</v>
      </c>
      <c r="K60" s="132">
        <v>57</v>
      </c>
      <c r="L60" s="128" t="s">
        <v>208</v>
      </c>
      <c r="M60" s="128" t="s">
        <v>1</v>
      </c>
      <c r="N60" s="132">
        <v>30100</v>
      </c>
      <c r="O60" s="128" t="s">
        <v>552</v>
      </c>
      <c r="P60" s="170"/>
      <c r="Q60" s="128" t="s">
        <v>553</v>
      </c>
      <c r="R60" s="128" t="s">
        <v>554</v>
      </c>
      <c r="S60" s="128" t="s">
        <v>5</v>
      </c>
      <c r="T60" s="128" t="s">
        <v>24</v>
      </c>
      <c r="U60" s="170"/>
      <c r="V60" s="131" t="s">
        <v>1590</v>
      </c>
      <c r="W60" s="132">
        <v>981020000675768</v>
      </c>
      <c r="X60" s="128" t="s">
        <v>555</v>
      </c>
      <c r="Y60" s="169" t="s">
        <v>122</v>
      </c>
      <c r="Z60" s="128" t="s">
        <v>556</v>
      </c>
      <c r="AA60" s="128" t="s">
        <v>557</v>
      </c>
      <c r="AB60" s="131" t="s">
        <v>1591</v>
      </c>
      <c r="AC60" s="131" t="s">
        <v>1453</v>
      </c>
      <c r="AD60" s="170"/>
      <c r="AE60" s="171" t="str">
        <f>HYPERLINK("https://drive.google.com/open?id=1C1Dr9Qz1BFUbjKyJSzclEe20JhS7Daeb","DSC_7144.jpg")</f>
        <v>DSC_7144.jpg</v>
      </c>
      <c r="AF60" s="171" t="str">
        <f>HYPERLINK("https://drive.google.com/open?id=15HoiUa6vO6F2X4NkpZ2RJ2LrFlHKMkPk","Skener_20210625 (2).pdf")</f>
        <v>Skener_20210625 (2).pdf</v>
      </c>
      <c r="AG60" s="171" t="str">
        <f>HYPERLINK("https://drive.google.com/open?id=1_IpBPkw159tlWriGcrs-0RQFln4h_38W","20210723_163218_resized.jpg")</f>
        <v>20210723_163218_resized.jpg</v>
      </c>
      <c r="AH60" s="171" t="str">
        <f>HYPERLINK("https://drive.google.com/open?id=1HqSEX92aX2YCKbCN6py3MY-q0p64tPsJ","20210723_163235_resized.jpg")</f>
        <v>20210723_163235_resized.jpg</v>
      </c>
      <c r="AI60" s="171" t="str">
        <f>HYPERLINK("https://drive.google.com/open?id=1g5qDpn-CGimcgKBUbln_Qpf5xKC0y6Fq","20210724_234043_resized.jpg")</f>
        <v>20210724_234043_resized.jpg</v>
      </c>
      <c r="AJ60" s="171" t="str">
        <f>HYPERLINK("https://drive.google.com/open?id=1E6It5HZ6RZFzxBnwzNEpwlCNkFHmG11K","20210724_234056_resized.jpg")</f>
        <v>20210724_234056_resized.jpg</v>
      </c>
      <c r="AK60" s="171" t="str">
        <f>HYPERLINK("https://drive.google.com/open?id=10SE4DPlEHrJ8jQUMeWO3Hec4YTFDasMX","20210724_235007_resized.jpg")</f>
        <v>20210724_235007_resized.jpg</v>
      </c>
      <c r="AL60" s="128" t="s">
        <v>4</v>
      </c>
      <c r="AM60" s="170"/>
      <c r="AN60" s="128" t="s">
        <v>1592</v>
      </c>
      <c r="AO60" s="128" t="s">
        <v>25</v>
      </c>
      <c r="AP60" s="128" t="s">
        <v>25</v>
      </c>
      <c r="AQ60" s="170"/>
      <c r="AR60" s="170"/>
      <c r="AS60" s="170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28"/>
      <c r="BH60" s="128"/>
      <c r="BI60" s="128"/>
      <c r="BJ60" s="128"/>
      <c r="BK60" s="128"/>
    </row>
    <row r="61" spans="1:63" ht="23.25" customHeight="1">
      <c r="A61" s="69">
        <v>63</v>
      </c>
      <c r="B61" s="32">
        <v>48</v>
      </c>
      <c r="C61" s="40">
        <v>1</v>
      </c>
      <c r="D61" s="40" t="s">
        <v>82</v>
      </c>
      <c r="E61" s="40" t="s">
        <v>191</v>
      </c>
      <c r="F61" s="40" t="s">
        <v>548</v>
      </c>
      <c r="G61" s="40" t="s">
        <v>549</v>
      </c>
      <c r="H61" s="41" t="s">
        <v>550</v>
      </c>
      <c r="I61" s="80"/>
      <c r="J61" s="40" t="s">
        <v>558</v>
      </c>
      <c r="K61" s="40">
        <v>57</v>
      </c>
      <c r="L61" s="40" t="s">
        <v>208</v>
      </c>
      <c r="M61" s="40" t="s">
        <v>1</v>
      </c>
      <c r="N61" s="40">
        <v>30100</v>
      </c>
      <c r="O61" s="40" t="s">
        <v>552</v>
      </c>
      <c r="P61" s="80"/>
      <c r="Q61" s="40" t="s">
        <v>559</v>
      </c>
      <c r="R61" s="40" t="s">
        <v>560</v>
      </c>
      <c r="S61" s="40" t="s">
        <v>5</v>
      </c>
      <c r="T61" s="40" t="s">
        <v>24</v>
      </c>
      <c r="U61" s="80"/>
      <c r="V61" s="40" t="s">
        <v>1452</v>
      </c>
      <c r="W61" s="40">
        <v>203164000045154</v>
      </c>
      <c r="X61" s="40" t="s">
        <v>359</v>
      </c>
      <c r="Y61" s="41" t="s">
        <v>359</v>
      </c>
      <c r="Z61" s="40" t="s">
        <v>561</v>
      </c>
      <c r="AA61" s="40" t="s">
        <v>562</v>
      </c>
      <c r="AB61" s="40" t="s">
        <v>1431</v>
      </c>
      <c r="AC61" s="40" t="s">
        <v>1453</v>
      </c>
      <c r="AD61" s="80"/>
      <c r="AE61" s="80"/>
      <c r="AF61" s="82" t="str">
        <f>HYPERLINK("https://drive.google.com/open?id=1qumvzmx3TEOZlf3KaHUnvOTtU60CeAtr","CSOB_20210723163433.txt")</f>
        <v>CSOB_20210723163433.txt</v>
      </c>
      <c r="AG61" s="82" t="str">
        <f>HYPERLINK("https://drive.google.com/open?id=1dFEBpUULNuiQRUctcNxG5eErr23XiBmN","20210723_163315_resized.jpg")</f>
        <v>20210723_163315_resized.jpg</v>
      </c>
      <c r="AH61" s="80"/>
      <c r="AI61" s="82" t="str">
        <f>HYPERLINK("https://drive.google.com/open?id=1cqhHr4hXAJYFyddVZm4_WBaSqZQXeR_A","20210724_235118_resized.jpg")</f>
        <v>20210724_235118_resized.jpg</v>
      </c>
      <c r="AJ61" s="82" t="str">
        <f>HYPERLINK("https://drive.google.com/open?id=1EtOE6u-74aI3HzEsX0_OPO4vDKMinA2X","20210724_235146_resized.jpg")</f>
        <v>20210724_235146_resized.jpg</v>
      </c>
      <c r="AK61" s="80"/>
      <c r="AL61" s="40" t="s">
        <v>4</v>
      </c>
      <c r="AM61" s="80"/>
      <c r="AN61" s="40" t="s">
        <v>1454</v>
      </c>
      <c r="AO61" s="40" t="s">
        <v>359</v>
      </c>
      <c r="AP61" s="40" t="s">
        <v>359</v>
      </c>
      <c r="AQ61" s="80"/>
      <c r="AR61" s="80"/>
      <c r="AS61" s="80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40"/>
      <c r="BH61" s="84"/>
      <c r="BI61" s="84"/>
      <c r="BJ61" s="84"/>
      <c r="BK61" s="84"/>
    </row>
    <row r="62" spans="1:63" ht="23.25" customHeight="1">
      <c r="A62" s="47">
        <v>33</v>
      </c>
      <c r="B62" s="32">
        <v>61</v>
      </c>
      <c r="C62" s="44">
        <v>1</v>
      </c>
      <c r="D62" s="44" t="s">
        <v>259</v>
      </c>
      <c r="E62" s="44" t="s">
        <v>191</v>
      </c>
      <c r="F62" s="44" t="s">
        <v>331</v>
      </c>
      <c r="G62" s="44" t="s">
        <v>332</v>
      </c>
      <c r="H62" s="44">
        <v>777685402</v>
      </c>
      <c r="I62" s="49"/>
      <c r="J62" s="44" t="s">
        <v>333</v>
      </c>
      <c r="K62" s="44">
        <v>759</v>
      </c>
      <c r="L62" s="44" t="s">
        <v>334</v>
      </c>
      <c r="M62" s="44" t="s">
        <v>17</v>
      </c>
      <c r="N62" s="44">
        <v>26601</v>
      </c>
      <c r="O62" s="44" t="s">
        <v>335</v>
      </c>
      <c r="P62" s="49"/>
      <c r="Q62" s="44" t="s">
        <v>336</v>
      </c>
      <c r="R62" s="44" t="s">
        <v>211</v>
      </c>
      <c r="S62" s="44" t="s">
        <v>5</v>
      </c>
      <c r="T62" s="44" t="s">
        <v>255</v>
      </c>
      <c r="U62" s="49"/>
      <c r="V62" s="44" t="s">
        <v>1415</v>
      </c>
      <c r="W62" s="44" t="s">
        <v>337</v>
      </c>
      <c r="X62" s="44" t="s">
        <v>359</v>
      </c>
      <c r="Y62" s="46" t="s">
        <v>359</v>
      </c>
      <c r="Z62" s="44" t="s">
        <v>338</v>
      </c>
      <c r="AA62" s="44" t="s">
        <v>339</v>
      </c>
      <c r="AB62" s="44" t="s">
        <v>1173</v>
      </c>
      <c r="AC62" s="44" t="s">
        <v>1416</v>
      </c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4" t="s">
        <v>359</v>
      </c>
      <c r="AP62" s="44" t="s">
        <v>359</v>
      </c>
      <c r="AQ62" s="49"/>
      <c r="AR62" s="49"/>
      <c r="AS62" s="49"/>
      <c r="AT62" s="44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44"/>
      <c r="BH62" s="44"/>
      <c r="BI62" s="44"/>
      <c r="BJ62" s="44"/>
      <c r="BK62" s="44"/>
    </row>
    <row r="63" spans="1:63" ht="23.25" customHeight="1">
      <c r="A63" s="31">
        <v>110</v>
      </c>
      <c r="B63" s="32">
        <v>34</v>
      </c>
      <c r="C63" s="48">
        <v>1</v>
      </c>
      <c r="D63" s="48" t="s">
        <v>170</v>
      </c>
      <c r="E63" s="48" t="s">
        <v>191</v>
      </c>
      <c r="F63" s="48" t="s">
        <v>855</v>
      </c>
      <c r="G63" s="48" t="s">
        <v>856</v>
      </c>
      <c r="H63" s="48">
        <v>774657297</v>
      </c>
      <c r="I63" s="51"/>
      <c r="J63" s="48" t="s">
        <v>857</v>
      </c>
      <c r="K63" s="48">
        <v>1018</v>
      </c>
      <c r="L63" s="48" t="s">
        <v>858</v>
      </c>
      <c r="M63" s="48" t="s">
        <v>1</v>
      </c>
      <c r="N63" s="48">
        <v>59231</v>
      </c>
      <c r="O63" s="48" t="s">
        <v>859</v>
      </c>
      <c r="P63" s="51"/>
      <c r="Q63" s="48" t="s">
        <v>860</v>
      </c>
      <c r="R63" s="48" t="s">
        <v>861</v>
      </c>
      <c r="S63" s="48" t="s">
        <v>5</v>
      </c>
      <c r="T63" s="48" t="s">
        <v>255</v>
      </c>
      <c r="U63" s="51"/>
      <c r="V63" s="48" t="s">
        <v>1543</v>
      </c>
      <c r="W63" s="48" t="s">
        <v>862</v>
      </c>
      <c r="X63" s="48" t="s">
        <v>359</v>
      </c>
      <c r="Y63" s="52" t="s">
        <v>359</v>
      </c>
      <c r="Z63" s="48" t="s">
        <v>863</v>
      </c>
      <c r="AA63" s="48" t="s">
        <v>864</v>
      </c>
      <c r="AB63" s="48" t="s">
        <v>1544</v>
      </c>
      <c r="AC63" s="48" t="s">
        <v>1545</v>
      </c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48" t="s">
        <v>865</v>
      </c>
      <c r="AO63" s="184">
        <v>44197</v>
      </c>
      <c r="AP63" s="184">
        <v>44197</v>
      </c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</row>
    <row r="64" spans="1:63" ht="23.25" customHeight="1">
      <c r="A64" s="31">
        <v>114</v>
      </c>
      <c r="B64" s="32">
        <v>65</v>
      </c>
      <c r="C64" s="48">
        <v>1</v>
      </c>
      <c r="D64" s="48" t="s">
        <v>68</v>
      </c>
      <c r="E64" s="48" t="s">
        <v>191</v>
      </c>
      <c r="F64" s="48" t="s">
        <v>884</v>
      </c>
      <c r="G64" s="48" t="s">
        <v>885</v>
      </c>
      <c r="H64" s="54" t="s">
        <v>886</v>
      </c>
      <c r="I64" s="51"/>
      <c r="J64" s="48" t="s">
        <v>887</v>
      </c>
      <c r="K64" s="48">
        <v>99</v>
      </c>
      <c r="L64" s="48" t="s">
        <v>887</v>
      </c>
      <c r="M64" s="48" t="s">
        <v>1</v>
      </c>
      <c r="N64" s="48">
        <v>27325</v>
      </c>
      <c r="O64" s="48" t="s">
        <v>888</v>
      </c>
      <c r="P64" s="51"/>
      <c r="Q64" s="48" t="s">
        <v>889</v>
      </c>
      <c r="R64" s="48" t="s">
        <v>890</v>
      </c>
      <c r="S64" s="48" t="s">
        <v>5</v>
      </c>
      <c r="T64" s="48" t="s">
        <v>24</v>
      </c>
      <c r="U64" s="51"/>
      <c r="V64" s="48" t="s">
        <v>1415</v>
      </c>
      <c r="W64" s="48">
        <v>88164</v>
      </c>
      <c r="X64" s="48" t="s">
        <v>359</v>
      </c>
      <c r="Y64" s="52" t="s">
        <v>359</v>
      </c>
      <c r="Z64" s="48" t="s">
        <v>891</v>
      </c>
      <c r="AA64" s="48" t="s">
        <v>892</v>
      </c>
      <c r="AB64" s="48" t="s">
        <v>1424</v>
      </c>
      <c r="AC64" s="48" t="s">
        <v>1424</v>
      </c>
      <c r="AD64" s="51"/>
      <c r="AE64" s="51"/>
      <c r="AF64" s="55" t="str">
        <f>HYPERLINK("https://drive.google.com/open?id=1j95_ZMpC_gydlTnEPzFOeweH9Okr5qNZ","A6613D63-DEFD-4255-84C1-F3876846882A.jpeg")</f>
        <v>A6613D63-DEFD-4255-84C1-F3876846882A.jpeg</v>
      </c>
      <c r="AG64" s="51"/>
      <c r="AH64" s="51"/>
      <c r="AI64" s="55" t="str">
        <f>HYPERLINK("https://drive.google.com/open?id=10HYikZr1D5JYb77xGrRPNVjQs8o8OAOC","F329B2FD-9E8A-4E9A-85D8-5310B942C2FF.jpeg")</f>
        <v>F329B2FD-9E8A-4E9A-85D8-5310B942C2FF.jpeg</v>
      </c>
      <c r="AJ64" s="51"/>
      <c r="AK64" s="51"/>
      <c r="AL64" s="48" t="s">
        <v>4</v>
      </c>
      <c r="AM64" s="51"/>
      <c r="AN64" s="48" t="s">
        <v>893</v>
      </c>
      <c r="AO64" s="48" t="s">
        <v>359</v>
      </c>
      <c r="AP64" s="48" t="s">
        <v>359</v>
      </c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</row>
    <row r="65" spans="1:63" ht="23.25" customHeight="1">
      <c r="A65" s="31">
        <v>137</v>
      </c>
      <c r="B65" s="32">
        <v>25</v>
      </c>
      <c r="C65" s="31">
        <v>1</v>
      </c>
      <c r="D65" s="48" t="s">
        <v>54</v>
      </c>
      <c r="E65" s="48" t="s">
        <v>191</v>
      </c>
      <c r="F65" s="48" t="s">
        <v>1077</v>
      </c>
      <c r="G65" s="48" t="s">
        <v>1078</v>
      </c>
      <c r="H65" s="48">
        <v>607798316</v>
      </c>
      <c r="I65" s="51"/>
      <c r="J65" s="48" t="s">
        <v>1079</v>
      </c>
      <c r="K65" s="48">
        <v>10</v>
      </c>
      <c r="L65" s="48" t="s">
        <v>1080</v>
      </c>
      <c r="M65" s="48" t="s">
        <v>11</v>
      </c>
      <c r="N65" s="48">
        <v>28601</v>
      </c>
      <c r="O65" s="48" t="s">
        <v>1081</v>
      </c>
      <c r="P65" s="51"/>
      <c r="Q65" s="48" t="s">
        <v>1082</v>
      </c>
      <c r="R65" s="48" t="s">
        <v>1083</v>
      </c>
      <c r="S65" s="48" t="s">
        <v>5</v>
      </c>
      <c r="T65" s="48" t="s">
        <v>24</v>
      </c>
      <c r="U65" s="51"/>
      <c r="V65" s="48" t="s">
        <v>1623</v>
      </c>
      <c r="W65" s="48">
        <v>953010002311247</v>
      </c>
      <c r="X65" s="48" t="s">
        <v>1084</v>
      </c>
      <c r="Y65" s="52" t="s">
        <v>1085</v>
      </c>
      <c r="Z65" s="48" t="s">
        <v>1086</v>
      </c>
      <c r="AA65" s="48" t="s">
        <v>1087</v>
      </c>
      <c r="AB65" s="48" t="s">
        <v>1624</v>
      </c>
      <c r="AC65" s="48" t="s">
        <v>1625</v>
      </c>
      <c r="AD65" s="51"/>
      <c r="AE65" s="55" t="str">
        <f>HYPERLINK("https://drive.google.com/open?id=1Uy33E8KjpB60TS5TFVrZtu5zvPC43tz3","Yzerah Manepo Ideál 1.jpg")</f>
        <v>Yzerah Manepo Ideál 1.jpg</v>
      </c>
      <c r="AF65" s="55" t="str">
        <f>HYPERLINK("https://drive.google.com/open?id=1o5jjgq6UAoR2txxG6EMlLF2Jfz7LmStC","Potvrzeni_platby (2).PDF")</f>
        <v>Potvrzeni_platby (2).PDF</v>
      </c>
      <c r="AG65" s="55" t="str">
        <f>HYPERLINK("https://drive.google.com/open?id=14mjLMSkqSK0FFAyENeRlp-jcBp_lFFQ5","vk před str.pdf")</f>
        <v>vk před str.pdf</v>
      </c>
      <c r="AH65" s="55" t="str">
        <f>HYPERLINK("https://drive.google.com/open?id=1eDf5dB0BblcBfJphrnlaD1ztZvNmkYvZ","vk.pdf")</f>
        <v>vk.pdf</v>
      </c>
      <c r="AI65" s="55" t="str">
        <f>HYPERLINK("https://drive.google.com/open?id=1Q-mx0P3dorPTEqM2GXpGtn5VawtsS1Kh","zero pp4.pdf")</f>
        <v>zero pp4.pdf</v>
      </c>
      <c r="AJ65" s="55" t="str">
        <f>HYPERLINK("https://drive.google.com/open?id=162pNk-lA0gKLUDeGXOwKI5TGKP7Dkvb8","yzerah 2.jpg")</f>
        <v>yzerah 2.jpg</v>
      </c>
      <c r="AK65" s="55" t="str">
        <f>HYPERLINK("https://drive.google.com/open?id=1HLlpbOst7KZ2BMRA3gtFc8HtOQJZboa7","yzerah 3.jpg")</f>
        <v>yzerah 3.jpg</v>
      </c>
      <c r="AL65" s="48" t="s">
        <v>4</v>
      </c>
      <c r="AM65" s="51"/>
      <c r="AN65" s="48" t="s">
        <v>1088</v>
      </c>
      <c r="AO65" s="48" t="s">
        <v>112</v>
      </c>
      <c r="AP65" s="48" t="s">
        <v>25</v>
      </c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</row>
    <row r="66" spans="1:63" ht="23.25" customHeight="1">
      <c r="A66" s="42">
        <v>142</v>
      </c>
      <c r="B66" s="32">
        <v>70</v>
      </c>
      <c r="C66" s="44">
        <v>1</v>
      </c>
      <c r="D66" s="44" t="s">
        <v>190</v>
      </c>
      <c r="E66" s="44" t="s">
        <v>191</v>
      </c>
      <c r="F66" s="44" t="s">
        <v>1077</v>
      </c>
      <c r="G66" s="44" t="s">
        <v>1078</v>
      </c>
      <c r="H66" s="44">
        <v>607798316</v>
      </c>
      <c r="I66" s="45"/>
      <c r="J66" s="44" t="s">
        <v>1079</v>
      </c>
      <c r="K66" s="44">
        <v>10</v>
      </c>
      <c r="L66" s="44" t="s">
        <v>1080</v>
      </c>
      <c r="M66" s="44" t="s">
        <v>11</v>
      </c>
      <c r="N66" s="44">
        <v>28601</v>
      </c>
      <c r="O66" s="44" t="s">
        <v>1081</v>
      </c>
      <c r="P66" s="45"/>
      <c r="Q66" s="44" t="s">
        <v>1107</v>
      </c>
      <c r="R66" s="44" t="s">
        <v>1097</v>
      </c>
      <c r="S66" s="44" t="s">
        <v>5</v>
      </c>
      <c r="T66" s="44" t="s">
        <v>24</v>
      </c>
      <c r="U66" s="45"/>
      <c r="V66" s="44" t="s">
        <v>1703</v>
      </c>
      <c r="W66" s="44">
        <v>972270000286653</v>
      </c>
      <c r="X66" s="44" t="s">
        <v>1108</v>
      </c>
      <c r="Y66" s="46" t="s">
        <v>1109</v>
      </c>
      <c r="Z66" s="44" t="s">
        <v>1110</v>
      </c>
      <c r="AA66" s="44" t="s">
        <v>1111</v>
      </c>
      <c r="AB66" s="44" t="s">
        <v>1655</v>
      </c>
      <c r="AC66" s="44" t="s">
        <v>1704</v>
      </c>
      <c r="AD66" s="45"/>
      <c r="AE66" s="68" t="str">
        <f>HYPERLINK("https://drive.google.com/open?id=1yheUifugEwEN8XytEJNqd8eJQLiY2Xe8","Morpheus Anrebri email.jpg")</f>
        <v>Morpheus Anrebri email.jpg</v>
      </c>
      <c r="AF66" s="68" t="str">
        <f>HYPERLINK("https://drive.google.com/open?id=1PAVLU_-Hxi4KkR4XnkPbLWU_ou8cLmv7","Potvrzeni_platby (2).PDF")</f>
        <v>Potvrzeni_platby (2).PDF</v>
      </c>
      <c r="AG66" s="45"/>
      <c r="AH66" s="45"/>
      <c r="AI66" s="68" t="str">
        <f>HYPERLINK("https://drive.google.com/open?id=1O_Zt9azJAZ93SH5NoTNYSj8BBhrmbsOr","M PP 4.jpg")</f>
        <v>M PP 4.jpg</v>
      </c>
      <c r="AJ66" s="68" t="str">
        <f>HYPERLINK("https://drive.google.com/open?id=190GUwC0sJogc0wTbMpCPzJDe81cyUnuo","M PP 3.jpg")</f>
        <v>M PP 3.jpg</v>
      </c>
      <c r="AK66" s="68" t="str">
        <f>HYPERLINK("https://drive.google.com/open?id=1dVxMwLYU4r9oaZB-6vNyLK75zb1tIoN9","M PP 2.jpg")</f>
        <v>M PP 2.jpg</v>
      </c>
      <c r="AL66" s="44" t="s">
        <v>4</v>
      </c>
      <c r="AM66" s="45"/>
      <c r="AN66" s="44" t="s">
        <v>1112</v>
      </c>
      <c r="AO66" s="44" t="s">
        <v>112</v>
      </c>
      <c r="AP66" s="44" t="s">
        <v>25</v>
      </c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</row>
    <row r="67" spans="1:63" ht="23.25" customHeight="1">
      <c r="A67" s="31">
        <v>113</v>
      </c>
      <c r="B67" s="32">
        <v>6</v>
      </c>
      <c r="C67" s="48">
        <v>1</v>
      </c>
      <c r="D67" s="48" t="s">
        <v>158</v>
      </c>
      <c r="E67" s="48" t="s">
        <v>191</v>
      </c>
      <c r="F67" s="48" t="s">
        <v>872</v>
      </c>
      <c r="G67" s="48" t="s">
        <v>873</v>
      </c>
      <c r="H67" s="48">
        <v>731926162</v>
      </c>
      <c r="I67" s="51"/>
      <c r="J67" s="48" t="s">
        <v>874</v>
      </c>
      <c r="K67" s="48">
        <v>189</v>
      </c>
      <c r="L67" s="48" t="s">
        <v>875</v>
      </c>
      <c r="M67" s="48" t="s">
        <v>1</v>
      </c>
      <c r="N67" s="48">
        <v>25162</v>
      </c>
      <c r="O67" s="48" t="s">
        <v>876</v>
      </c>
      <c r="P67" s="51"/>
      <c r="Q67" s="48" t="s">
        <v>877</v>
      </c>
      <c r="R67" s="48" t="s">
        <v>878</v>
      </c>
      <c r="S67" s="48" t="s">
        <v>5</v>
      </c>
      <c r="T67" s="48" t="s">
        <v>255</v>
      </c>
      <c r="U67" s="51"/>
      <c r="V67" s="48" t="s">
        <v>1593</v>
      </c>
      <c r="W67" s="48" t="s">
        <v>879</v>
      </c>
      <c r="X67" s="48" t="s">
        <v>880</v>
      </c>
      <c r="Y67" s="52" t="s">
        <v>122</v>
      </c>
      <c r="Z67" s="48" t="s">
        <v>881</v>
      </c>
      <c r="AA67" s="48" t="s">
        <v>65</v>
      </c>
      <c r="AB67" s="48" t="s">
        <v>882</v>
      </c>
      <c r="AC67" s="48" t="s">
        <v>882</v>
      </c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48" t="s">
        <v>883</v>
      </c>
      <c r="AO67" s="48" t="s">
        <v>271</v>
      </c>
      <c r="AP67" s="48" t="s">
        <v>25</v>
      </c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</row>
    <row r="68" spans="1:63" ht="23.25" customHeight="1">
      <c r="A68" s="38">
        <v>15</v>
      </c>
      <c r="B68" s="32">
        <v>51</v>
      </c>
      <c r="C68" s="40">
        <v>1</v>
      </c>
      <c r="D68" s="40" t="s">
        <v>178</v>
      </c>
      <c r="E68" s="40"/>
      <c r="F68" s="40" t="s">
        <v>179</v>
      </c>
      <c r="G68" s="40" t="s">
        <v>180</v>
      </c>
      <c r="H68" s="96" t="s">
        <v>181</v>
      </c>
      <c r="I68" s="40"/>
      <c r="J68" s="40" t="s">
        <v>182</v>
      </c>
      <c r="K68" s="40">
        <v>223</v>
      </c>
      <c r="L68" s="40" t="s">
        <v>183</v>
      </c>
      <c r="M68" s="40" t="s">
        <v>17</v>
      </c>
      <c r="N68" s="40">
        <v>36211</v>
      </c>
      <c r="O68" s="40" t="s">
        <v>184</v>
      </c>
      <c r="P68" s="40"/>
      <c r="Q68" s="40" t="s">
        <v>185</v>
      </c>
      <c r="R68" s="40" t="s">
        <v>186</v>
      </c>
      <c r="S68" s="40" t="s">
        <v>5</v>
      </c>
      <c r="T68" s="40" t="s">
        <v>152</v>
      </c>
      <c r="U68" s="40"/>
      <c r="V68" s="40" t="s">
        <v>1455</v>
      </c>
      <c r="W68" s="40" t="s">
        <v>187</v>
      </c>
      <c r="X68" s="40" t="s">
        <v>359</v>
      </c>
      <c r="Y68" s="41" t="s">
        <v>359</v>
      </c>
      <c r="Z68" s="40" t="s">
        <v>188</v>
      </c>
      <c r="AA68" s="40" t="s">
        <v>189</v>
      </c>
      <c r="AB68" s="40" t="s">
        <v>1460</v>
      </c>
      <c r="AC68" s="40" t="s">
        <v>1461</v>
      </c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 t="s">
        <v>359</v>
      </c>
      <c r="AP68" s="40" t="s">
        <v>359</v>
      </c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</row>
    <row r="69" spans="1:63" ht="23.25" customHeight="1">
      <c r="A69" s="42">
        <v>158</v>
      </c>
      <c r="B69" s="32">
        <v>9</v>
      </c>
      <c r="C69" s="44">
        <v>1</v>
      </c>
      <c r="D69" s="44" t="s">
        <v>158</v>
      </c>
      <c r="E69" s="44" t="s">
        <v>191</v>
      </c>
      <c r="F69" s="44" t="s">
        <v>67</v>
      </c>
      <c r="G69" s="44" t="s">
        <v>1213</v>
      </c>
      <c r="H69" s="44">
        <v>605589369</v>
      </c>
      <c r="I69" s="45"/>
      <c r="J69" s="44" t="s">
        <v>1214</v>
      </c>
      <c r="K69" s="44">
        <v>2826</v>
      </c>
      <c r="L69" s="44" t="s">
        <v>1215</v>
      </c>
      <c r="M69" s="45"/>
      <c r="N69" s="44">
        <v>39005</v>
      </c>
      <c r="O69" s="44" t="s">
        <v>1216</v>
      </c>
      <c r="P69" s="45"/>
      <c r="Q69" s="44" t="s">
        <v>1217</v>
      </c>
      <c r="R69" s="44" t="s">
        <v>1218</v>
      </c>
      <c r="S69" s="44" t="s">
        <v>5</v>
      </c>
      <c r="T69" s="44" t="s">
        <v>255</v>
      </c>
      <c r="U69" s="45"/>
      <c r="V69" s="44" t="s">
        <v>1597</v>
      </c>
      <c r="W69" s="44" t="s">
        <v>1219</v>
      </c>
      <c r="X69" s="44" t="s">
        <v>127</v>
      </c>
      <c r="Y69" s="46" t="s">
        <v>1220</v>
      </c>
      <c r="Z69" s="44" t="s">
        <v>1221</v>
      </c>
      <c r="AA69" s="44" t="s">
        <v>1222</v>
      </c>
      <c r="AB69" s="44" t="s">
        <v>1223</v>
      </c>
      <c r="AC69" s="44" t="s">
        <v>1223</v>
      </c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4" t="s">
        <v>1224</v>
      </c>
      <c r="AO69" s="44" t="s">
        <v>25</v>
      </c>
      <c r="AP69" s="44" t="s">
        <v>25</v>
      </c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</row>
    <row r="70" spans="1:63" ht="23.25" customHeight="1">
      <c r="A70" s="31">
        <v>163</v>
      </c>
      <c r="B70" s="32">
        <v>60</v>
      </c>
      <c r="C70" s="48">
        <v>1</v>
      </c>
      <c r="D70" s="48" t="s">
        <v>263</v>
      </c>
      <c r="E70" s="48" t="s">
        <v>191</v>
      </c>
      <c r="F70" s="48" t="s">
        <v>67</v>
      </c>
      <c r="G70" s="48" t="s">
        <v>1213</v>
      </c>
      <c r="H70" s="48">
        <v>605589369</v>
      </c>
      <c r="I70" s="51"/>
      <c r="J70" s="48" t="s">
        <v>1214</v>
      </c>
      <c r="K70" s="48">
        <v>2826</v>
      </c>
      <c r="L70" s="48" t="s">
        <v>1215</v>
      </c>
      <c r="M70" s="51"/>
      <c r="N70" s="48">
        <v>39005</v>
      </c>
      <c r="O70" s="48" t="s">
        <v>1216</v>
      </c>
      <c r="P70" s="51"/>
      <c r="Q70" s="48" t="s">
        <v>171</v>
      </c>
      <c r="R70" s="48" t="s">
        <v>1236</v>
      </c>
      <c r="S70" s="48" t="s">
        <v>5</v>
      </c>
      <c r="T70" s="48" t="s">
        <v>255</v>
      </c>
      <c r="U70" s="51"/>
      <c r="V70" s="48" t="s">
        <v>1413</v>
      </c>
      <c r="W70" s="48">
        <v>981189900130304</v>
      </c>
      <c r="X70" s="48" t="s">
        <v>359</v>
      </c>
      <c r="Y70" s="52" t="s">
        <v>359</v>
      </c>
      <c r="Z70" s="48" t="s">
        <v>1237</v>
      </c>
      <c r="AA70" s="48" t="s">
        <v>943</v>
      </c>
      <c r="AB70" s="48" t="s">
        <v>1414</v>
      </c>
      <c r="AC70" s="48" t="s">
        <v>1223</v>
      </c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48" t="s">
        <v>1243</v>
      </c>
      <c r="AO70" s="48" t="s">
        <v>359</v>
      </c>
      <c r="AP70" s="48" t="s">
        <v>359</v>
      </c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</row>
    <row r="71" spans="1:63" ht="23.25" customHeight="1">
      <c r="A71" s="31">
        <v>159</v>
      </c>
      <c r="B71" s="32">
        <v>62</v>
      </c>
      <c r="C71" s="48">
        <v>1</v>
      </c>
      <c r="D71" s="48" t="s">
        <v>263</v>
      </c>
      <c r="E71" s="48" t="s">
        <v>191</v>
      </c>
      <c r="F71" s="48" t="s">
        <v>67</v>
      </c>
      <c r="G71" s="48" t="s">
        <v>1213</v>
      </c>
      <c r="H71" s="48">
        <v>605589369</v>
      </c>
      <c r="I71" s="51"/>
      <c r="J71" s="48" t="s">
        <v>1214</v>
      </c>
      <c r="K71" s="48">
        <v>2826</v>
      </c>
      <c r="L71" s="48" t="s">
        <v>1215</v>
      </c>
      <c r="M71" s="51"/>
      <c r="N71" s="48">
        <v>39005</v>
      </c>
      <c r="O71" s="48" t="s">
        <v>1216</v>
      </c>
      <c r="P71" s="51"/>
      <c r="Q71" s="48" t="s">
        <v>1225</v>
      </c>
      <c r="R71" s="48" t="s">
        <v>1218</v>
      </c>
      <c r="S71" s="48" t="s">
        <v>5</v>
      </c>
      <c r="T71" s="48" t="s">
        <v>255</v>
      </c>
      <c r="U71" s="51"/>
      <c r="V71" s="48" t="s">
        <v>1417</v>
      </c>
      <c r="W71" s="48" t="s">
        <v>1226</v>
      </c>
      <c r="X71" s="48" t="s">
        <v>359</v>
      </c>
      <c r="Y71" s="52" t="s">
        <v>359</v>
      </c>
      <c r="Z71" s="48" t="s">
        <v>1227</v>
      </c>
      <c r="AA71" s="48" t="s">
        <v>1228</v>
      </c>
      <c r="AB71" s="48" t="s">
        <v>1223</v>
      </c>
      <c r="AC71" s="48" t="s">
        <v>1223</v>
      </c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48" t="s">
        <v>1229</v>
      </c>
      <c r="AO71" s="48" t="s">
        <v>359</v>
      </c>
      <c r="AP71" s="48" t="s">
        <v>359</v>
      </c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</row>
    <row r="72" spans="1:63" ht="23.25" customHeight="1">
      <c r="A72" s="31">
        <v>150</v>
      </c>
      <c r="B72" s="32">
        <v>42</v>
      </c>
      <c r="C72" s="48">
        <v>1</v>
      </c>
      <c r="D72" s="48" t="s">
        <v>664</v>
      </c>
      <c r="E72" s="48" t="s">
        <v>191</v>
      </c>
      <c r="F72" s="48" t="s">
        <v>100</v>
      </c>
      <c r="G72" s="48" t="s">
        <v>1148</v>
      </c>
      <c r="H72" s="48">
        <v>721270583</v>
      </c>
      <c r="I72" s="51"/>
      <c r="J72" s="48" t="s">
        <v>1149</v>
      </c>
      <c r="K72" s="48">
        <v>39</v>
      </c>
      <c r="L72" s="48" t="s">
        <v>196</v>
      </c>
      <c r="M72" s="48" t="s">
        <v>1</v>
      </c>
      <c r="N72" s="48">
        <v>37001</v>
      </c>
      <c r="O72" s="48" t="s">
        <v>1150</v>
      </c>
      <c r="P72" s="51"/>
      <c r="Q72" s="48" t="s">
        <v>1151</v>
      </c>
      <c r="R72" s="48" t="s">
        <v>1152</v>
      </c>
      <c r="S72" s="48" t="s">
        <v>5</v>
      </c>
      <c r="T72" s="48" t="s">
        <v>255</v>
      </c>
      <c r="U72" s="51"/>
      <c r="V72" s="48" t="s">
        <v>1499</v>
      </c>
      <c r="W72" s="48">
        <v>98118990115744</v>
      </c>
      <c r="X72" s="48" t="s">
        <v>359</v>
      </c>
      <c r="Y72" s="52" t="s">
        <v>359</v>
      </c>
      <c r="Z72" s="48" t="s">
        <v>1153</v>
      </c>
      <c r="AA72" s="48" t="s">
        <v>1154</v>
      </c>
      <c r="AB72" s="48" t="s">
        <v>1500</v>
      </c>
      <c r="AC72" s="48" t="s">
        <v>1501</v>
      </c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48" t="s">
        <v>1155</v>
      </c>
      <c r="AO72" s="48" t="s">
        <v>246</v>
      </c>
      <c r="AP72" s="48" t="s">
        <v>246</v>
      </c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K105"/>
  <sheetViews>
    <sheetView topLeftCell="B1" workbookViewId="0"/>
  </sheetViews>
  <sheetFormatPr defaultColWidth="14.42578125" defaultRowHeight="15.75" customHeight="1"/>
  <cols>
    <col min="1" max="1" width="14.42578125" hidden="1"/>
    <col min="4" max="28" width="14.42578125" hidden="1"/>
  </cols>
  <sheetData>
    <row r="1" spans="1:63" ht="23.25" customHeight="1">
      <c r="A1" s="85">
        <v>54</v>
      </c>
      <c r="B1" s="205">
        <v>1</v>
      </c>
      <c r="C1" s="64">
        <v>1</v>
      </c>
      <c r="D1" s="64" t="s">
        <v>54</v>
      </c>
      <c r="E1" s="64" t="s">
        <v>232</v>
      </c>
      <c r="F1" s="64" t="s">
        <v>35</v>
      </c>
      <c r="G1" s="64" t="s">
        <v>477</v>
      </c>
      <c r="H1" s="90" t="s">
        <v>478</v>
      </c>
      <c r="I1" s="86"/>
      <c r="J1" s="64" t="s">
        <v>479</v>
      </c>
      <c r="K1" s="64">
        <v>19</v>
      </c>
      <c r="L1" s="64" t="s">
        <v>480</v>
      </c>
      <c r="M1" s="64" t="s">
        <v>1</v>
      </c>
      <c r="N1" s="64">
        <v>78501</v>
      </c>
      <c r="O1" s="64" t="s">
        <v>482</v>
      </c>
      <c r="P1" s="86"/>
      <c r="Q1" s="64" t="s">
        <v>489</v>
      </c>
      <c r="R1" s="64" t="s">
        <v>484</v>
      </c>
      <c r="S1" s="64" t="s">
        <v>2</v>
      </c>
      <c r="T1" s="64" t="s">
        <v>24</v>
      </c>
      <c r="U1" s="86"/>
      <c r="V1" s="64" t="s">
        <v>1635</v>
      </c>
      <c r="W1" s="64">
        <v>63926</v>
      </c>
      <c r="X1" s="64" t="s">
        <v>490</v>
      </c>
      <c r="Y1" s="65" t="s">
        <v>122</v>
      </c>
      <c r="Z1" s="64" t="s">
        <v>486</v>
      </c>
      <c r="AA1" s="64" t="s">
        <v>491</v>
      </c>
      <c r="AB1" s="64" t="s">
        <v>1533</v>
      </c>
      <c r="AC1" s="64" t="s">
        <v>1533</v>
      </c>
      <c r="AD1" s="86"/>
      <c r="AE1" s="86"/>
      <c r="AF1" s="87" t="str">
        <f>HYPERLINK("https://drive.google.com/open?id=1iM9pPiOsX6T6bevcHbr3xCkeVfkLvWOx","platba Prokopová.jpeg")</f>
        <v>platba Prokopová.jpeg</v>
      </c>
      <c r="AG1" s="87" t="str">
        <f>HYPERLINK("https://drive.google.com/open?id=1JlxCO6P3QnzormQcp_pcoUtSXok0haO2","Agi potvr. o zkoušce.jpeg")</f>
        <v>Agi potvr. o zkoušce.jpeg</v>
      </c>
      <c r="AH1" s="86"/>
      <c r="AI1" s="87" t="str">
        <f>HYPERLINK("https://drive.google.com/open?id=1A5Y1lmzomQDCNA33N8okXBj8xEJ-e61-","Agi pp.jpeg")</f>
        <v>Agi pp.jpeg</v>
      </c>
      <c r="AJ1" s="87" t="str">
        <f>HYPERLINK("https://drive.google.com/open?id=1mXnsSEOiZhxnsu_PUJrzxQF5hDXGs5fT","Agi 1 Pp.jpeg")</f>
        <v>Agi 1 Pp.jpeg</v>
      </c>
      <c r="AK1" s="86"/>
      <c r="AL1" s="64" t="s">
        <v>4</v>
      </c>
      <c r="AM1" s="86"/>
      <c r="AN1" s="64" t="s">
        <v>492</v>
      </c>
      <c r="AO1" s="64" t="s">
        <v>25</v>
      </c>
      <c r="AP1" s="64" t="s">
        <v>25</v>
      </c>
      <c r="AQ1" s="86"/>
      <c r="AR1" s="86"/>
      <c r="AS1" s="86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64"/>
      <c r="BH1" s="89"/>
      <c r="BI1" s="89"/>
      <c r="BJ1" s="89"/>
      <c r="BK1" s="89"/>
    </row>
    <row r="2" spans="1:63" ht="23.25" customHeight="1">
      <c r="A2" s="62">
        <v>29</v>
      </c>
      <c r="B2" s="205">
        <v>2</v>
      </c>
      <c r="C2" s="64">
        <v>1</v>
      </c>
      <c r="D2" s="64" t="s">
        <v>158</v>
      </c>
      <c r="E2" s="64" t="s">
        <v>232</v>
      </c>
      <c r="F2" s="64" t="s">
        <v>13</v>
      </c>
      <c r="G2" s="64" t="s">
        <v>287</v>
      </c>
      <c r="H2" s="64" t="s">
        <v>288</v>
      </c>
      <c r="I2" s="64"/>
      <c r="J2" s="64" t="s">
        <v>298</v>
      </c>
      <c r="K2" s="64">
        <v>836</v>
      </c>
      <c r="L2" s="64" t="s">
        <v>305</v>
      </c>
      <c r="M2" s="64" t="s">
        <v>17</v>
      </c>
      <c r="N2" s="64"/>
      <c r="O2" s="64" t="s">
        <v>291</v>
      </c>
      <c r="P2" s="64"/>
      <c r="Q2" s="64" t="s">
        <v>306</v>
      </c>
      <c r="R2" s="64" t="s">
        <v>300</v>
      </c>
      <c r="S2" s="64" t="s">
        <v>2</v>
      </c>
      <c r="T2" s="64" t="s">
        <v>255</v>
      </c>
      <c r="U2" s="64"/>
      <c r="V2" s="64" t="s">
        <v>1636</v>
      </c>
      <c r="W2" s="64" t="s">
        <v>307</v>
      </c>
      <c r="X2" s="64" t="s">
        <v>127</v>
      </c>
      <c r="Y2" s="65" t="s">
        <v>359</v>
      </c>
      <c r="Z2" s="64" t="s">
        <v>302</v>
      </c>
      <c r="AA2" s="64" t="s">
        <v>303</v>
      </c>
      <c r="AB2" s="64" t="s">
        <v>1565</v>
      </c>
      <c r="AC2" s="64" t="s">
        <v>1565</v>
      </c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</row>
    <row r="3" spans="1:63" ht="23.25" customHeight="1">
      <c r="A3" s="62">
        <v>19</v>
      </c>
      <c r="B3" s="205">
        <v>3</v>
      </c>
      <c r="C3" s="64">
        <v>1</v>
      </c>
      <c r="D3" s="64" t="s">
        <v>54</v>
      </c>
      <c r="E3" s="64" t="s">
        <v>232</v>
      </c>
      <c r="F3" s="64" t="s">
        <v>13</v>
      </c>
      <c r="G3" s="64" t="s">
        <v>233</v>
      </c>
      <c r="H3" s="64" t="s">
        <v>234</v>
      </c>
      <c r="I3" s="64"/>
      <c r="J3" s="64" t="s">
        <v>235</v>
      </c>
      <c r="K3" s="64">
        <v>47</v>
      </c>
      <c r="L3" s="64" t="s">
        <v>236</v>
      </c>
      <c r="M3" s="64" t="s">
        <v>17</v>
      </c>
      <c r="N3" s="64">
        <v>76302</v>
      </c>
      <c r="O3" s="64" t="s">
        <v>237</v>
      </c>
      <c r="P3" s="64"/>
      <c r="Q3" s="64" t="s">
        <v>238</v>
      </c>
      <c r="R3" s="64" t="s">
        <v>239</v>
      </c>
      <c r="S3" s="64" t="s">
        <v>2</v>
      </c>
      <c r="T3" s="64" t="s">
        <v>152</v>
      </c>
      <c r="U3" s="64"/>
      <c r="V3" s="64" t="s">
        <v>1637</v>
      </c>
      <c r="W3" s="64" t="s">
        <v>240</v>
      </c>
      <c r="X3" s="64" t="s">
        <v>241</v>
      </c>
      <c r="Y3" s="65" t="s">
        <v>242</v>
      </c>
      <c r="Z3" s="64" t="s">
        <v>243</v>
      </c>
      <c r="AA3" s="64" t="s">
        <v>244</v>
      </c>
      <c r="AB3" s="64" t="s">
        <v>1638</v>
      </c>
      <c r="AC3" s="64" t="s">
        <v>1639</v>
      </c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</row>
    <row r="4" spans="1:63" ht="23.25" customHeight="1">
      <c r="A4" s="62">
        <v>20</v>
      </c>
      <c r="B4" s="205">
        <v>4</v>
      </c>
      <c r="C4" s="64">
        <v>1</v>
      </c>
      <c r="D4" s="64" t="s">
        <v>54</v>
      </c>
      <c r="E4" s="64" t="s">
        <v>232</v>
      </c>
      <c r="F4" s="64" t="s">
        <v>13</v>
      </c>
      <c r="G4" s="64" t="s">
        <v>233</v>
      </c>
      <c r="H4" s="64">
        <v>603112007</v>
      </c>
      <c r="I4" s="64"/>
      <c r="J4" s="64" t="s">
        <v>235</v>
      </c>
      <c r="K4" s="64">
        <v>47</v>
      </c>
      <c r="L4" s="64" t="s">
        <v>236</v>
      </c>
      <c r="M4" s="64" t="s">
        <v>17</v>
      </c>
      <c r="N4" s="64">
        <v>76302</v>
      </c>
      <c r="O4" s="64" t="s">
        <v>237</v>
      </c>
      <c r="P4" s="64"/>
      <c r="Q4" s="64" t="s">
        <v>247</v>
      </c>
      <c r="R4" s="64" t="s">
        <v>239</v>
      </c>
      <c r="S4" s="64" t="s">
        <v>2</v>
      </c>
      <c r="T4" s="64" t="s">
        <v>152</v>
      </c>
      <c r="U4" s="64"/>
      <c r="V4" s="64" t="s">
        <v>1637</v>
      </c>
      <c r="W4" s="64" t="s">
        <v>248</v>
      </c>
      <c r="X4" s="64" t="s">
        <v>249</v>
      </c>
      <c r="Y4" s="65" t="s">
        <v>242</v>
      </c>
      <c r="Z4" s="64" t="s">
        <v>243</v>
      </c>
      <c r="AA4" s="64" t="s">
        <v>244</v>
      </c>
      <c r="AB4" s="64" t="s">
        <v>1638</v>
      </c>
      <c r="AC4" s="64" t="s">
        <v>1639</v>
      </c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</row>
    <row r="5" spans="1:63" ht="23.25" customHeight="1">
      <c r="A5" s="62">
        <v>8</v>
      </c>
      <c r="B5" s="205">
        <v>5</v>
      </c>
      <c r="C5" s="64">
        <v>1</v>
      </c>
      <c r="D5" s="64" t="s">
        <v>54</v>
      </c>
      <c r="E5" s="64"/>
      <c r="F5" s="64" t="s">
        <v>23</v>
      </c>
      <c r="G5" s="64" t="s">
        <v>114</v>
      </c>
      <c r="H5" s="76" t="s">
        <v>115</v>
      </c>
      <c r="I5" s="64"/>
      <c r="J5" s="27" t="s">
        <v>116</v>
      </c>
      <c r="K5" s="64">
        <v>1076</v>
      </c>
      <c r="L5" s="64" t="s">
        <v>117</v>
      </c>
      <c r="M5" s="64" t="s">
        <v>17</v>
      </c>
      <c r="N5" s="64">
        <v>29306</v>
      </c>
      <c r="O5" s="27" t="s">
        <v>118</v>
      </c>
      <c r="P5" s="64"/>
      <c r="Q5" s="64" t="s">
        <v>125</v>
      </c>
      <c r="R5" s="64" t="s">
        <v>126</v>
      </c>
      <c r="S5" s="64" t="s">
        <v>2</v>
      </c>
      <c r="T5" s="64" t="s">
        <v>24</v>
      </c>
      <c r="U5" s="64"/>
      <c r="V5" s="77" t="s">
        <v>1640</v>
      </c>
      <c r="W5" s="78">
        <v>12211</v>
      </c>
      <c r="X5" s="64" t="s">
        <v>127</v>
      </c>
      <c r="Y5" s="65" t="s">
        <v>122</v>
      </c>
      <c r="Z5" s="64" t="s">
        <v>128</v>
      </c>
      <c r="AA5" s="64" t="s">
        <v>129</v>
      </c>
      <c r="AB5" s="64" t="s">
        <v>1482</v>
      </c>
      <c r="AC5" s="64" t="s">
        <v>1482</v>
      </c>
      <c r="AD5" s="64"/>
      <c r="AE5" s="64"/>
      <c r="AF5" s="79" t="str">
        <f>HYPERLINK("https://drive.google.com/open?id=1P2riPLca_RJTUNjxBRWXcu3jlBsKFh2x","platba Klubovka 2021.pdf")</f>
        <v>platba Klubovka 2021.pdf</v>
      </c>
      <c r="AG5" s="64"/>
      <c r="AH5" s="64"/>
      <c r="AI5" s="79" t="str">
        <f>HYPERLINK("https://drive.google.com/open?id=1dVsVR21lzcL5CVhbGpSLqNNd8Vgoh4vD","Daffi pp1.JPG")</f>
        <v>Daffi pp1.JPG</v>
      </c>
      <c r="AJ5" s="79" t="str">
        <f>HYPERLINK("https://drive.google.com/open?id=1_eSQGto9Euq9RYKv5-RwJ8vjH0f23xU8","Daffi pp2.JPG")</f>
        <v>Daffi pp2.JPG</v>
      </c>
      <c r="AK5" s="64"/>
      <c r="AL5" s="64" t="s">
        <v>4</v>
      </c>
      <c r="AM5" s="64"/>
      <c r="AN5" s="64" t="s">
        <v>1641</v>
      </c>
      <c r="AO5" s="64" t="s">
        <v>33</v>
      </c>
      <c r="AP5" s="64" t="s">
        <v>25</v>
      </c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</row>
    <row r="6" spans="1:63" ht="23.25" customHeight="1">
      <c r="A6" s="42">
        <v>112</v>
      </c>
      <c r="B6" s="205">
        <v>6</v>
      </c>
      <c r="C6" s="44">
        <v>1</v>
      </c>
      <c r="D6" s="44" t="s">
        <v>158</v>
      </c>
      <c r="E6" s="44" t="s">
        <v>232</v>
      </c>
      <c r="F6" s="44" t="s">
        <v>855</v>
      </c>
      <c r="G6" s="44" t="s">
        <v>856</v>
      </c>
      <c r="H6" s="44">
        <v>774657297</v>
      </c>
      <c r="I6" s="45"/>
      <c r="J6" s="44" t="s">
        <v>857</v>
      </c>
      <c r="K6" s="44">
        <v>1018</v>
      </c>
      <c r="L6" s="44" t="s">
        <v>858</v>
      </c>
      <c r="M6" s="44" t="s">
        <v>1</v>
      </c>
      <c r="N6" s="44">
        <v>59231</v>
      </c>
      <c r="O6" s="44" t="s">
        <v>859</v>
      </c>
      <c r="P6" s="45"/>
      <c r="Q6" s="44" t="s">
        <v>868</v>
      </c>
      <c r="R6" s="44" t="s">
        <v>861</v>
      </c>
      <c r="S6" s="44" t="s">
        <v>2</v>
      </c>
      <c r="T6" s="44" t="s">
        <v>255</v>
      </c>
      <c r="U6" s="45"/>
      <c r="V6" s="44" t="s">
        <v>1642</v>
      </c>
      <c r="W6" s="44">
        <v>49811</v>
      </c>
      <c r="X6" s="44" t="s">
        <v>127</v>
      </c>
      <c r="Y6" s="46" t="s">
        <v>869</v>
      </c>
      <c r="Z6" s="44" t="s">
        <v>837</v>
      </c>
      <c r="AA6" s="44" t="s">
        <v>870</v>
      </c>
      <c r="AB6" s="44" t="s">
        <v>1544</v>
      </c>
      <c r="AC6" s="44" t="s">
        <v>1545</v>
      </c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4" t="s">
        <v>871</v>
      </c>
      <c r="AO6" s="44" t="s">
        <v>25</v>
      </c>
      <c r="AP6" s="44" t="s">
        <v>25</v>
      </c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</row>
    <row r="7" spans="1:63" ht="23.25" customHeight="1">
      <c r="A7" s="42">
        <v>118</v>
      </c>
      <c r="B7" s="205">
        <v>7</v>
      </c>
      <c r="C7" s="44">
        <v>1</v>
      </c>
      <c r="D7" s="44" t="s">
        <v>158</v>
      </c>
      <c r="E7" s="44" t="s">
        <v>232</v>
      </c>
      <c r="F7" s="44" t="s">
        <v>466</v>
      </c>
      <c r="G7" s="44" t="s">
        <v>922</v>
      </c>
      <c r="H7" s="44">
        <v>606603355</v>
      </c>
      <c r="I7" s="45"/>
      <c r="J7" s="44" t="s">
        <v>923</v>
      </c>
      <c r="K7" s="44">
        <v>45</v>
      </c>
      <c r="L7" s="44" t="s">
        <v>208</v>
      </c>
      <c r="M7" s="44" t="s">
        <v>1</v>
      </c>
      <c r="N7" s="44">
        <v>32300</v>
      </c>
      <c r="O7" s="44" t="s">
        <v>924</v>
      </c>
      <c r="P7" s="45"/>
      <c r="Q7" s="44" t="s">
        <v>925</v>
      </c>
      <c r="R7" s="44" t="s">
        <v>926</v>
      </c>
      <c r="S7" s="44" t="s">
        <v>2</v>
      </c>
      <c r="T7" s="44" t="s">
        <v>255</v>
      </c>
      <c r="U7" s="45"/>
      <c r="V7" s="44" t="s">
        <v>1643</v>
      </c>
      <c r="W7" s="44" t="s">
        <v>927</v>
      </c>
      <c r="X7" s="44" t="s">
        <v>127</v>
      </c>
      <c r="Y7" s="46" t="s">
        <v>122</v>
      </c>
      <c r="Z7" s="44" t="s">
        <v>928</v>
      </c>
      <c r="AA7" s="44" t="s">
        <v>487</v>
      </c>
      <c r="AB7" s="44" t="s">
        <v>1644</v>
      </c>
      <c r="AC7" s="44" t="s">
        <v>1644</v>
      </c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4" t="s">
        <v>929</v>
      </c>
      <c r="AO7" s="44" t="s">
        <v>33</v>
      </c>
      <c r="AP7" s="44" t="s">
        <v>25</v>
      </c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</row>
    <row r="8" spans="1:63" ht="23.25" customHeight="1">
      <c r="A8" s="69">
        <v>47</v>
      </c>
      <c r="B8" s="205">
        <v>8</v>
      </c>
      <c r="C8" s="56">
        <v>1</v>
      </c>
      <c r="D8" s="56" t="s">
        <v>406</v>
      </c>
      <c r="E8" s="56" t="s">
        <v>232</v>
      </c>
      <c r="F8" s="56" t="s">
        <v>422</v>
      </c>
      <c r="G8" s="56" t="s">
        <v>423</v>
      </c>
      <c r="H8" s="59" t="s">
        <v>424</v>
      </c>
      <c r="I8" s="104"/>
      <c r="J8" s="56" t="s">
        <v>425</v>
      </c>
      <c r="K8" s="56">
        <v>93</v>
      </c>
      <c r="L8" s="56" t="s">
        <v>425</v>
      </c>
      <c r="M8" s="56" t="s">
        <v>426</v>
      </c>
      <c r="N8" s="104"/>
      <c r="O8" s="56" t="s">
        <v>427</v>
      </c>
      <c r="P8" s="104"/>
      <c r="Q8" s="56" t="s">
        <v>439</v>
      </c>
      <c r="R8" s="56" t="s">
        <v>433</v>
      </c>
      <c r="S8" s="56" t="s">
        <v>2</v>
      </c>
      <c r="T8" s="56" t="s">
        <v>255</v>
      </c>
      <c r="U8" s="104"/>
      <c r="V8" s="56" t="s">
        <v>1645</v>
      </c>
      <c r="W8" s="56" t="s">
        <v>440</v>
      </c>
      <c r="X8" s="56" t="s">
        <v>441</v>
      </c>
      <c r="Y8" s="59" t="s">
        <v>436</v>
      </c>
      <c r="Z8" s="56" t="s">
        <v>442</v>
      </c>
      <c r="AA8" s="56" t="s">
        <v>438</v>
      </c>
      <c r="AB8" s="56" t="s">
        <v>1437</v>
      </c>
      <c r="AC8" s="56" t="s">
        <v>1437</v>
      </c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6"/>
      <c r="BH8" s="56"/>
      <c r="BI8" s="56"/>
      <c r="BJ8" s="56"/>
      <c r="BK8" s="56"/>
    </row>
    <row r="9" spans="1:63" ht="23.25" customHeight="1">
      <c r="A9" s="42">
        <v>119</v>
      </c>
      <c r="B9" s="205">
        <v>9</v>
      </c>
      <c r="C9" s="44">
        <v>1</v>
      </c>
      <c r="D9" s="44" t="s">
        <v>158</v>
      </c>
      <c r="E9" s="44" t="s">
        <v>232</v>
      </c>
      <c r="F9" s="44" t="s">
        <v>698</v>
      </c>
      <c r="G9" s="44" t="s">
        <v>930</v>
      </c>
      <c r="H9" s="44">
        <v>777240126</v>
      </c>
      <c r="I9" s="45"/>
      <c r="J9" s="44" t="s">
        <v>931</v>
      </c>
      <c r="K9" s="44">
        <v>214</v>
      </c>
      <c r="L9" s="44" t="s">
        <v>932</v>
      </c>
      <c r="M9" s="44" t="s">
        <v>1</v>
      </c>
      <c r="N9" s="44">
        <v>27306</v>
      </c>
      <c r="O9" s="44" t="s">
        <v>933</v>
      </c>
      <c r="P9" s="45"/>
      <c r="Q9" s="44" t="s">
        <v>934</v>
      </c>
      <c r="R9" s="44" t="s">
        <v>935</v>
      </c>
      <c r="S9" s="44" t="s">
        <v>2</v>
      </c>
      <c r="T9" s="44" t="s">
        <v>255</v>
      </c>
      <c r="U9" s="45"/>
      <c r="V9" s="44" t="s">
        <v>1647</v>
      </c>
      <c r="W9" s="44">
        <v>981189900103143</v>
      </c>
      <c r="X9" s="44" t="s">
        <v>936</v>
      </c>
      <c r="Y9" s="46" t="s">
        <v>359</v>
      </c>
      <c r="Z9" s="44" t="s">
        <v>937</v>
      </c>
      <c r="AA9" s="44" t="s">
        <v>938</v>
      </c>
      <c r="AB9" s="44" t="s">
        <v>939</v>
      </c>
      <c r="AC9" s="44" t="s">
        <v>1441</v>
      </c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4" t="s">
        <v>940</v>
      </c>
      <c r="AO9" s="44" t="s">
        <v>246</v>
      </c>
      <c r="AP9" s="44" t="s">
        <v>246</v>
      </c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</row>
    <row r="10" spans="1:63" ht="23.25" customHeight="1">
      <c r="A10" s="42">
        <v>117</v>
      </c>
      <c r="B10" s="205">
        <v>10</v>
      </c>
      <c r="C10" s="44">
        <v>1</v>
      </c>
      <c r="D10" s="44" t="s">
        <v>54</v>
      </c>
      <c r="E10" s="44" t="s">
        <v>232</v>
      </c>
      <c r="F10" s="44" t="s">
        <v>912</v>
      </c>
      <c r="G10" s="44" t="s">
        <v>110</v>
      </c>
      <c r="H10" s="125" t="s">
        <v>913</v>
      </c>
      <c r="I10" s="45"/>
      <c r="J10" s="44" t="s">
        <v>914</v>
      </c>
      <c r="K10" s="44">
        <v>9</v>
      </c>
      <c r="L10" s="44" t="s">
        <v>915</v>
      </c>
      <c r="M10" s="44" t="s">
        <v>11</v>
      </c>
      <c r="N10" s="44">
        <v>33701</v>
      </c>
      <c r="O10" s="44" t="s">
        <v>111</v>
      </c>
      <c r="P10" s="45"/>
      <c r="Q10" s="44" t="s">
        <v>916</v>
      </c>
      <c r="R10" s="44" t="s">
        <v>917</v>
      </c>
      <c r="S10" s="44" t="s">
        <v>2</v>
      </c>
      <c r="T10" s="44" t="s">
        <v>24</v>
      </c>
      <c r="U10" s="44"/>
      <c r="V10" s="44" t="s">
        <v>1648</v>
      </c>
      <c r="W10" s="44" t="s">
        <v>918</v>
      </c>
      <c r="X10" s="44" t="s">
        <v>919</v>
      </c>
      <c r="Y10" s="46" t="s">
        <v>359</v>
      </c>
      <c r="Z10" s="44" t="s">
        <v>920</v>
      </c>
      <c r="AA10" s="44" t="s">
        <v>853</v>
      </c>
      <c r="AB10" s="44" t="s">
        <v>1649</v>
      </c>
      <c r="AC10" s="44" t="s">
        <v>1649</v>
      </c>
      <c r="AD10" s="45"/>
      <c r="AE10" s="45"/>
      <c r="AF10" s="68" t="str">
        <f>HYPERLINK("https://drive.google.com/open?id=1U8FfYQgtRrL5HGkpr4oBdr2vNg2WX3ap","D2121EA1-87D0-43FF-9E5D-F4A8F724A7C9.png")</f>
        <v>D2121EA1-87D0-43FF-9E5D-F4A8F724A7C9.png</v>
      </c>
      <c r="AG10" s="68" t="str">
        <f>HYPERLINK("https://drive.google.com/open?id=15b2KSnngvPhfbpomgU1CarKemxg_h8JF","image.jpg")</f>
        <v>image.jpg</v>
      </c>
      <c r="AH10" s="68" t="str">
        <f>HYPERLINK("https://drive.google.com/open?id=1KYxDt68mGWJ64OPptUmg0weAzrQR1RO2","70815611-1E51-46F6-8FE8-AA2F949C9722.jpeg")</f>
        <v>70815611-1E51-46F6-8FE8-AA2F949C9722.jpeg</v>
      </c>
      <c r="AI10" s="68" t="str">
        <f>HYPERLINK("https://drive.google.com/open?id=1ObqHNLRhJzKuLpdzp6INjuJA9tHz_7Mo","B0551C0E-AD03-4726-9AE9-EB39CDEF8E8D.jpeg")</f>
        <v>B0551C0E-AD03-4726-9AE9-EB39CDEF8E8D.jpeg</v>
      </c>
      <c r="AJ10" s="68" t="str">
        <f>HYPERLINK("https://drive.google.com/open?id=13-0IIkXbDsWSjGw1_vSY7iAMQEWQhvuS","D816D682-E368-4BB5-8402-ADA17CB9D65D.jpeg")</f>
        <v>D816D682-E368-4BB5-8402-ADA17CB9D65D.jpeg</v>
      </c>
      <c r="AK10" s="68" t="str">
        <f>HYPERLINK("https://drive.google.com/open?id=12UQI9jfZWBet5_MZBxRxUvdcCx_KThdR","7B3C79C3-7283-4890-B177-001F93477ED7.jpeg")</f>
        <v>7B3C79C3-7283-4890-B177-001F93477ED7.jpeg</v>
      </c>
      <c r="AL10" s="44" t="s">
        <v>4</v>
      </c>
      <c r="AM10" s="45"/>
      <c r="AN10" s="44" t="s">
        <v>921</v>
      </c>
      <c r="AO10" s="44" t="s">
        <v>40</v>
      </c>
      <c r="AP10" s="44" t="s">
        <v>25</v>
      </c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</row>
    <row r="11" spans="1:63" ht="23.25" customHeight="1">
      <c r="A11" s="38">
        <v>24</v>
      </c>
      <c r="B11" s="205">
        <v>11</v>
      </c>
      <c r="C11" s="40">
        <v>1</v>
      </c>
      <c r="D11" s="40" t="s">
        <v>158</v>
      </c>
      <c r="E11" s="40" t="s">
        <v>232</v>
      </c>
      <c r="F11" s="40" t="s">
        <v>100</v>
      </c>
      <c r="G11" s="40" t="s">
        <v>251</v>
      </c>
      <c r="H11" s="40" t="s">
        <v>252</v>
      </c>
      <c r="I11" s="40"/>
      <c r="J11" s="40" t="s">
        <v>253</v>
      </c>
      <c r="K11" s="40">
        <v>35</v>
      </c>
      <c r="L11" s="40" t="s">
        <v>15</v>
      </c>
      <c r="M11" s="40" t="s">
        <v>17</v>
      </c>
      <c r="N11" s="40"/>
      <c r="O11" s="40"/>
      <c r="P11" s="40"/>
      <c r="Q11" s="40" t="s">
        <v>265</v>
      </c>
      <c r="R11" s="40" t="s">
        <v>266</v>
      </c>
      <c r="S11" s="40" t="s">
        <v>2</v>
      </c>
      <c r="T11" s="40" t="s">
        <v>255</v>
      </c>
      <c r="U11" s="40"/>
      <c r="V11" s="40" t="s">
        <v>1650</v>
      </c>
      <c r="W11" s="40" t="s">
        <v>267</v>
      </c>
      <c r="X11" s="40" t="s">
        <v>127</v>
      </c>
      <c r="Y11" s="41" t="s">
        <v>122</v>
      </c>
      <c r="Z11" s="40" t="s">
        <v>268</v>
      </c>
      <c r="AA11" s="40" t="s">
        <v>269</v>
      </c>
      <c r="AB11" s="40" t="s">
        <v>1446</v>
      </c>
      <c r="AC11" s="40" t="s">
        <v>1412</v>
      </c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 t="s">
        <v>270</v>
      </c>
      <c r="AO11" s="40" t="s">
        <v>271</v>
      </c>
      <c r="AP11" s="40" t="s">
        <v>25</v>
      </c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</row>
    <row r="12" spans="1:63" ht="23.25" customHeight="1">
      <c r="A12" s="42">
        <v>147</v>
      </c>
      <c r="B12" s="205">
        <v>12</v>
      </c>
      <c r="C12" s="44">
        <v>1</v>
      </c>
      <c r="D12" s="44" t="s">
        <v>54</v>
      </c>
      <c r="E12" s="44" t="s">
        <v>232</v>
      </c>
      <c r="F12" s="44" t="s">
        <v>55</v>
      </c>
      <c r="G12" s="44" t="s">
        <v>1066</v>
      </c>
      <c r="H12" s="125" t="s">
        <v>1067</v>
      </c>
      <c r="I12" s="45"/>
      <c r="J12" s="44" t="s">
        <v>1068</v>
      </c>
      <c r="K12" s="44">
        <v>19</v>
      </c>
      <c r="L12" s="44" t="s">
        <v>1069</v>
      </c>
      <c r="M12" s="44" t="s">
        <v>1070</v>
      </c>
      <c r="N12" s="44">
        <v>33141</v>
      </c>
      <c r="O12" s="44" t="s">
        <v>1071</v>
      </c>
      <c r="P12" s="45"/>
      <c r="Q12" s="44" t="s">
        <v>1126</v>
      </c>
      <c r="R12" s="44" t="s">
        <v>1073</v>
      </c>
      <c r="S12" s="44" t="s">
        <v>2</v>
      </c>
      <c r="T12" s="44" t="s">
        <v>24</v>
      </c>
      <c r="U12" s="45"/>
      <c r="V12" s="44" t="s">
        <v>1651</v>
      </c>
      <c r="W12" s="44">
        <v>23068</v>
      </c>
      <c r="X12" s="44" t="s">
        <v>1127</v>
      </c>
      <c r="Y12" s="46" t="s">
        <v>1128</v>
      </c>
      <c r="Z12" s="44" t="s">
        <v>1129</v>
      </c>
      <c r="AA12" s="44" t="s">
        <v>995</v>
      </c>
      <c r="AB12" s="44" t="s">
        <v>1173</v>
      </c>
      <c r="AC12" s="44" t="s">
        <v>1173</v>
      </c>
      <c r="AD12" s="45"/>
      <c r="AE12" s="45"/>
      <c r="AF12" s="68" t="str">
        <f>HYPERLINK("https://drive.google.com/open?id=1ZqFwy1FOCfPNZ5MPzwSTIvQihUWJKRNc","iris.pdf")</f>
        <v>iris.pdf</v>
      </c>
      <c r="AG12" s="68" t="str">
        <f>HYPERLINK("https://drive.google.com/open?id=1ZfuYBKNYUT5qU707c8j5nmkc_oyRuyZW","výkonn ir.jpg")</f>
        <v>výkonn ir.jpg</v>
      </c>
      <c r="AH12" s="45"/>
      <c r="AI12" s="68" t="str">
        <f>HYPERLINK("https://drive.google.com/open?id=19NJ3dILNt3Z2115Ix5pu_A7qrAjf3isR","Ir2.jpg")</f>
        <v>Ir2.jpg</v>
      </c>
      <c r="AJ12" s="68" t="str">
        <f>HYPERLINK("https://drive.google.com/open?id=1LoJC662aDEJ-7Dky6ewf7l3XY0SSdi21","ir1.jpg")</f>
        <v>ir1.jpg</v>
      </c>
      <c r="AK12" s="68" t="str">
        <f>HYPERLINK("https://drive.google.com/open?id=1ufgJ3H-43ctKaMTvvJuN0k10C0FPMlE4","Ir 3.jpg")</f>
        <v>Ir 3.jpg</v>
      </c>
      <c r="AL12" s="44" t="s">
        <v>4</v>
      </c>
      <c r="AM12" s="45"/>
      <c r="AN12" s="44" t="s">
        <v>1130</v>
      </c>
      <c r="AO12" s="44" t="s">
        <v>271</v>
      </c>
      <c r="AP12" s="44" t="s">
        <v>25</v>
      </c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</row>
    <row r="13" spans="1:63" ht="23.25" customHeight="1">
      <c r="A13" s="42">
        <v>140</v>
      </c>
      <c r="B13" s="205">
        <v>13</v>
      </c>
      <c r="C13" s="44">
        <v>1</v>
      </c>
      <c r="D13" s="44" t="s">
        <v>54</v>
      </c>
      <c r="E13" s="44" t="s">
        <v>232</v>
      </c>
      <c r="F13" s="44" t="s">
        <v>1077</v>
      </c>
      <c r="G13" s="44" t="s">
        <v>1078</v>
      </c>
      <c r="H13" s="44">
        <v>607798316</v>
      </c>
      <c r="I13" s="45"/>
      <c r="J13" s="44" t="s">
        <v>1095</v>
      </c>
      <c r="K13" s="44">
        <v>10</v>
      </c>
      <c r="L13" s="44" t="s">
        <v>1080</v>
      </c>
      <c r="M13" s="44" t="s">
        <v>1</v>
      </c>
      <c r="N13" s="44">
        <v>28601</v>
      </c>
      <c r="O13" s="44" t="s">
        <v>1081</v>
      </c>
      <c r="P13" s="45"/>
      <c r="Q13" s="44" t="s">
        <v>1096</v>
      </c>
      <c r="R13" s="44" t="s">
        <v>1097</v>
      </c>
      <c r="S13" s="44" t="s">
        <v>2</v>
      </c>
      <c r="T13" s="44" t="s">
        <v>24</v>
      </c>
      <c r="U13" s="45"/>
      <c r="V13" s="44" t="s">
        <v>1654</v>
      </c>
      <c r="W13" s="44">
        <v>900032001884282</v>
      </c>
      <c r="X13" s="44" t="s">
        <v>1084</v>
      </c>
      <c r="Y13" s="46" t="s">
        <v>1085</v>
      </c>
      <c r="Z13" s="44" t="s">
        <v>1098</v>
      </c>
      <c r="AA13" s="44" t="s">
        <v>1099</v>
      </c>
      <c r="AB13" s="44" t="s">
        <v>1655</v>
      </c>
      <c r="AC13" s="44" t="s">
        <v>1625</v>
      </c>
      <c r="AD13" s="45"/>
      <c r="AE13" s="68" t="str">
        <f>HYPERLINK("https://drive.google.com/open?id=15OiCDvcvCUas5YqV4NVmcL9Wp5BiHAmA","Martina Trnková.jpg")</f>
        <v>Martina Trnková.jpg</v>
      </c>
      <c r="AF13" s="68" t="str">
        <f>HYPERLINK("https://drive.google.com/open?id=12JygelqoN2PAaid4mdF_XSnMgP-pSegv","Potvrzeni_platby (2).PDF")</f>
        <v>Potvrzeni_platby (2).PDF</v>
      </c>
      <c r="AG13" s="68" t="str">
        <f>HYPERLINK("https://drive.google.com/open?id=1cAqbT6wXS7wUic60WRnu5Nh5nlALs9Nu","KARA VK PŘED STR.pdf")</f>
        <v>KARA VK PŘED STR.pdf</v>
      </c>
      <c r="AH13" s="45"/>
      <c r="AI13" s="68" t="str">
        <f>HYPERLINK("https://drive.google.com/open?id=1rpDVdw4jWfkXI0lbVXqXvOfNbjttn9tV","kareah pp4.jpg")</f>
        <v>kareah pp4.jpg</v>
      </c>
      <c r="AJ13" s="68" t="str">
        <f>HYPERLINK("https://drive.google.com/open?id=1dFCv7nhgc2fSUY8_u9JckKB19xC1gpbp","kareah pp2.jpg")</f>
        <v>kareah pp2.jpg</v>
      </c>
      <c r="AK13" s="68" t="str">
        <f>HYPERLINK("https://drive.google.com/open?id=1_dRFXKvo6U4ekepZVj8_P0kxn995eSDt","kareah pp 3.jpg")</f>
        <v>kareah pp 3.jpg</v>
      </c>
      <c r="AL13" s="44" t="s">
        <v>4</v>
      </c>
      <c r="AM13" s="45"/>
      <c r="AN13" s="44" t="s">
        <v>1100</v>
      </c>
      <c r="AO13" s="44" t="s">
        <v>112</v>
      </c>
      <c r="AP13" s="44" t="s">
        <v>25</v>
      </c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</row>
    <row r="14" spans="1:63" ht="23.25" customHeight="1">
      <c r="A14" s="42">
        <v>78</v>
      </c>
      <c r="B14" s="205">
        <v>14</v>
      </c>
      <c r="C14" s="56">
        <v>1</v>
      </c>
      <c r="D14" s="56" t="s">
        <v>158</v>
      </c>
      <c r="E14" s="56" t="s">
        <v>232</v>
      </c>
      <c r="F14" s="56" t="s">
        <v>10</v>
      </c>
      <c r="G14" s="56" t="s">
        <v>657</v>
      </c>
      <c r="H14" s="56">
        <v>603505236</v>
      </c>
      <c r="I14" s="104"/>
      <c r="J14" s="56" t="s">
        <v>658</v>
      </c>
      <c r="K14" s="56">
        <v>670</v>
      </c>
      <c r="L14" s="56" t="s">
        <v>658</v>
      </c>
      <c r="M14" s="56" t="s">
        <v>1</v>
      </c>
      <c r="N14" s="56">
        <v>73943</v>
      </c>
      <c r="O14" s="56" t="s">
        <v>659</v>
      </c>
      <c r="P14" s="104"/>
      <c r="Q14" s="56" t="s">
        <v>671</v>
      </c>
      <c r="R14" s="56" t="s">
        <v>266</v>
      </c>
      <c r="S14" s="56" t="s">
        <v>2</v>
      </c>
      <c r="T14" s="56" t="s">
        <v>255</v>
      </c>
      <c r="U14" s="104"/>
      <c r="V14" s="56" t="s">
        <v>1656</v>
      </c>
      <c r="W14" s="56">
        <v>900079000376215</v>
      </c>
      <c r="X14" s="56" t="s">
        <v>127</v>
      </c>
      <c r="Y14" s="59" t="s">
        <v>122</v>
      </c>
      <c r="Z14" s="56" t="s">
        <v>275</v>
      </c>
      <c r="AA14" s="56" t="s">
        <v>672</v>
      </c>
      <c r="AB14" s="56" t="s">
        <v>1446</v>
      </c>
      <c r="AC14" s="56" t="s">
        <v>759</v>
      </c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56" t="s">
        <v>673</v>
      </c>
      <c r="AO14" s="56" t="s">
        <v>33</v>
      </c>
      <c r="AP14" s="56" t="s">
        <v>25</v>
      </c>
      <c r="AQ14" s="104"/>
      <c r="AR14" s="104"/>
      <c r="AS14" s="104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6"/>
      <c r="BH14" s="61"/>
      <c r="BI14" s="61"/>
      <c r="BJ14" s="61"/>
      <c r="BK14" s="61"/>
    </row>
    <row r="15" spans="1:63" ht="23.25" customHeight="1">
      <c r="A15" s="47">
        <v>34</v>
      </c>
      <c r="B15" s="205">
        <v>15</v>
      </c>
      <c r="C15" s="40">
        <v>1</v>
      </c>
      <c r="D15" s="40" t="s">
        <v>54</v>
      </c>
      <c r="E15" s="40" t="s">
        <v>232</v>
      </c>
      <c r="F15" s="40" t="s">
        <v>340</v>
      </c>
      <c r="G15" s="40" t="s">
        <v>341</v>
      </c>
      <c r="H15" s="91" t="s">
        <v>342</v>
      </c>
      <c r="I15" s="80"/>
      <c r="J15" s="40" t="s">
        <v>343</v>
      </c>
      <c r="K15" s="40">
        <v>2</v>
      </c>
      <c r="L15" s="40" t="s">
        <v>344</v>
      </c>
      <c r="M15" s="40" t="s">
        <v>29</v>
      </c>
      <c r="N15" s="40" t="s">
        <v>345</v>
      </c>
      <c r="O15" s="40" t="s">
        <v>346</v>
      </c>
      <c r="P15" s="80"/>
      <c r="Q15" s="40" t="s">
        <v>347</v>
      </c>
      <c r="R15" s="40" t="s">
        <v>20</v>
      </c>
      <c r="S15" s="40" t="s">
        <v>2</v>
      </c>
      <c r="T15" s="40" t="s">
        <v>24</v>
      </c>
      <c r="U15" s="80"/>
      <c r="V15" s="40" t="s">
        <v>1657</v>
      </c>
      <c r="W15" s="40" t="s">
        <v>348</v>
      </c>
      <c r="X15" s="40" t="s">
        <v>349</v>
      </c>
      <c r="Y15" s="41" t="s">
        <v>30</v>
      </c>
      <c r="Z15" s="40" t="s">
        <v>350</v>
      </c>
      <c r="AA15" s="40" t="s">
        <v>351</v>
      </c>
      <c r="AB15" s="40" t="s">
        <v>21</v>
      </c>
      <c r="AC15" s="40" t="s">
        <v>21</v>
      </c>
      <c r="AD15" s="80"/>
      <c r="AE15" s="80"/>
      <c r="AF15" s="82" t="str">
        <f>HYPERLINK("https://drive.google.com/open?id=1WJxxeoK9ikw9EuUxdCE0WrgGXbkX8iuo","Transakce_2000006718234619.pdf")</f>
        <v>Transakce_2000006718234619.pdf</v>
      </c>
      <c r="AG15" s="82" t="str">
        <f>HYPERLINK("https://drive.google.com/open?id=1bIMlcxArUhLp63dyleP73_q8n1eYBXCY","40B5941F-9948-4797-95ED-1FD92E65249B.jpeg")</f>
        <v>40B5941F-9948-4797-95ED-1FD92E65249B.jpeg</v>
      </c>
      <c r="AH15" s="82" t="str">
        <f>HYPERLINK("https://drive.google.com/open?id=1ZOO0TVqV9gCvNPXHJlYCeyP9IC1mx-3a","056E69B1-2BDD-43A2-86DF-687C0F2F6E62.jpeg")</f>
        <v>056E69B1-2BDD-43A2-86DF-687C0F2F6E62.jpeg</v>
      </c>
      <c r="AI15" s="82" t="str">
        <f>HYPERLINK("https://drive.google.com/open?id=15hE594hfg_qqtDElvRsSEKPI0d9MokNX","25445C46-ED9D-4093-B09E-5FE7063B02F3.jpeg")</f>
        <v>25445C46-ED9D-4093-B09E-5FE7063B02F3.jpeg</v>
      </c>
      <c r="AJ15" s="82" t="str">
        <f>HYPERLINK("https://drive.google.com/open?id=1Ujn3fzH6sQwBNvqW41xRSCC55NXIBoWb","78AC1E3A-D0C9-4024-85DD-1DFB6BBD13C9.jpeg")</f>
        <v>78AC1E3A-D0C9-4024-85DD-1DFB6BBD13C9.jpeg</v>
      </c>
      <c r="AK15" s="82" t="str">
        <f>HYPERLINK("https://drive.google.com/open?id=1sO_dfAEilFINb0AozIHWod9sUYyuXdSH","B24BFB2E-9180-44BB-B70C-6C89942C0813.jpeg")</f>
        <v>B24BFB2E-9180-44BB-B70C-6C89942C0813.jpeg</v>
      </c>
      <c r="AL15" s="40" t="s">
        <v>4</v>
      </c>
      <c r="AM15" s="80"/>
      <c r="AN15" s="40" t="s">
        <v>1658</v>
      </c>
      <c r="AO15" s="40" t="s">
        <v>271</v>
      </c>
      <c r="AP15" s="40" t="s">
        <v>25</v>
      </c>
      <c r="AQ15" s="80"/>
      <c r="AR15" s="80"/>
      <c r="AS15" s="80"/>
      <c r="AT15" s="40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40"/>
      <c r="BH15" s="40"/>
      <c r="BI15" s="40"/>
      <c r="BJ15" s="40"/>
      <c r="BK15" s="40"/>
    </row>
    <row r="16" spans="1:63" ht="23.25" customHeight="1">
      <c r="A16" s="177">
        <v>41</v>
      </c>
      <c r="B16" s="205">
        <v>16</v>
      </c>
      <c r="C16" s="40">
        <v>1</v>
      </c>
      <c r="D16" s="40" t="s">
        <v>54</v>
      </c>
      <c r="E16" s="40" t="s">
        <v>232</v>
      </c>
      <c r="F16" s="40" t="s">
        <v>100</v>
      </c>
      <c r="G16" s="40" t="s">
        <v>384</v>
      </c>
      <c r="H16" s="40">
        <v>721797462</v>
      </c>
      <c r="I16" s="80"/>
      <c r="J16" s="40" t="s">
        <v>393</v>
      </c>
      <c r="K16" s="40">
        <v>44</v>
      </c>
      <c r="L16" s="40" t="s">
        <v>386</v>
      </c>
      <c r="M16" s="40" t="s">
        <v>1</v>
      </c>
      <c r="N16" s="40">
        <v>38701</v>
      </c>
      <c r="O16" s="40" t="s">
        <v>387</v>
      </c>
      <c r="P16" s="80"/>
      <c r="Q16" s="40" t="s">
        <v>394</v>
      </c>
      <c r="R16" s="40" t="s">
        <v>77</v>
      </c>
      <c r="S16" s="40" t="s">
        <v>2</v>
      </c>
      <c r="T16" s="40" t="s">
        <v>24</v>
      </c>
      <c r="U16" s="80"/>
      <c r="V16" s="40" t="s">
        <v>1659</v>
      </c>
      <c r="W16" s="40" t="s">
        <v>395</v>
      </c>
      <c r="X16" s="40" t="s">
        <v>127</v>
      </c>
      <c r="Y16" s="41" t="s">
        <v>396</v>
      </c>
      <c r="Z16" s="40" t="s">
        <v>397</v>
      </c>
      <c r="AA16" s="40" t="s">
        <v>398</v>
      </c>
      <c r="AB16" s="40" t="s">
        <v>1463</v>
      </c>
      <c r="AC16" s="40" t="s">
        <v>1463</v>
      </c>
      <c r="AD16" s="80"/>
      <c r="AE16" s="80"/>
      <c r="AF16" s="82" t="str">
        <f>HYPERLINK("https://drive.google.com/open?id=1f81a6AdOMLhwt5l_jB5wo-lQnTQxff42","Platba.jpg")</f>
        <v>Platba.jpg</v>
      </c>
      <c r="AG16" s="82" t="str">
        <f>HYPERLINK("https://drive.google.com/open?id=1u_LwILX9sxgE1RctcOVL0bUDCUVluPSG","Megie výkonostka.jpg")</f>
        <v>Megie výkonostka.jpg</v>
      </c>
      <c r="AH16" s="82" t="str">
        <f>HYPERLINK("https://drive.google.com/open?id=1YC9_2qhhexQ-wXoeldNgvC6kIKUEjKpu","Megie výkonostka 1.jpg")</f>
        <v>Megie výkonostka 1.jpg</v>
      </c>
      <c r="AI16" s="82" t="str">
        <f>HYPERLINK("https://drive.google.com/open?id=1cmcBkumTGGG_7ARHtd7euaYaiWZVLa_F","Megie rodokmen.jpg")</f>
        <v>Megie rodokmen.jpg</v>
      </c>
      <c r="AJ16" s="82" t="str">
        <f>HYPERLINK("https://drive.google.com/open?id=1M4io3X7AHA_N_l7VQnBYdMzJIIgRyiH9","Megie rodokmen 1.jpg")</f>
        <v>Megie rodokmen 1.jpg</v>
      </c>
      <c r="AK16" s="80"/>
      <c r="AL16" s="40" t="s">
        <v>4</v>
      </c>
      <c r="AM16" s="80"/>
      <c r="AN16" s="40" t="s">
        <v>399</v>
      </c>
      <c r="AO16" s="40" t="s">
        <v>25</v>
      </c>
      <c r="AP16" s="40" t="s">
        <v>25</v>
      </c>
      <c r="AQ16" s="80"/>
      <c r="AR16" s="80"/>
      <c r="AS16" s="80"/>
      <c r="AT16" s="40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40"/>
      <c r="BH16" s="40"/>
      <c r="BI16" s="40"/>
      <c r="BJ16" s="40"/>
      <c r="BK16" s="40"/>
    </row>
    <row r="17" spans="1:63" ht="23.25" customHeight="1">
      <c r="A17" s="178">
        <v>42</v>
      </c>
      <c r="B17" s="205">
        <v>17</v>
      </c>
      <c r="C17" s="40">
        <v>1</v>
      </c>
      <c r="D17" s="40" t="s">
        <v>54</v>
      </c>
      <c r="E17" s="40" t="s">
        <v>232</v>
      </c>
      <c r="F17" s="40" t="s">
        <v>100</v>
      </c>
      <c r="G17" s="40" t="s">
        <v>384</v>
      </c>
      <c r="H17" s="40">
        <v>721797462</v>
      </c>
      <c r="I17" s="80"/>
      <c r="J17" s="40" t="s">
        <v>393</v>
      </c>
      <c r="K17" s="40">
        <v>44</v>
      </c>
      <c r="L17" s="40" t="s">
        <v>386</v>
      </c>
      <c r="M17" s="40" t="s">
        <v>1</v>
      </c>
      <c r="N17" s="40">
        <v>38701</v>
      </c>
      <c r="O17" s="40" t="s">
        <v>387</v>
      </c>
      <c r="P17" s="80"/>
      <c r="Q17" s="40" t="s">
        <v>400</v>
      </c>
      <c r="R17" s="40" t="s">
        <v>401</v>
      </c>
      <c r="S17" s="40" t="s">
        <v>2</v>
      </c>
      <c r="T17" s="40" t="s">
        <v>24</v>
      </c>
      <c r="U17" s="80"/>
      <c r="V17" s="40" t="s">
        <v>1660</v>
      </c>
      <c r="W17" s="40">
        <v>941000021053274</v>
      </c>
      <c r="X17" s="40" t="s">
        <v>127</v>
      </c>
      <c r="Y17" s="41" t="s">
        <v>402</v>
      </c>
      <c r="Z17" s="40" t="s">
        <v>403</v>
      </c>
      <c r="AA17" s="40" t="s">
        <v>404</v>
      </c>
      <c r="AB17" s="40" t="s">
        <v>1661</v>
      </c>
      <c r="AC17" s="40" t="s">
        <v>1463</v>
      </c>
      <c r="AD17" s="80"/>
      <c r="AE17" s="80"/>
      <c r="AF17" s="82" t="str">
        <f>HYPERLINK("https://drive.google.com/open?id=1pzzeA3JTPJmhDyK6KqoTW7OLsFDEBzeR","Platba.jpg")</f>
        <v>Platba.jpg</v>
      </c>
      <c r="AG17" s="82" t="str">
        <f>HYPERLINK("https://drive.google.com/open?id=13BpSr4VEJo-yFG9fzZoPzBFGKiSOGcKH","Molly výkonostka.jpg")</f>
        <v>Molly výkonostka.jpg</v>
      </c>
      <c r="AH17" s="82" t="str">
        <f>HYPERLINK("https://drive.google.com/open?id=1joc5DTzxjVWB8nT8Xp9MIvytPWGTusmT","Molly zkouška.jpg")</f>
        <v>Molly zkouška.jpg</v>
      </c>
      <c r="AI17" s="82" t="str">
        <f>HYPERLINK("https://drive.google.com/open?id=1P_Polax4_dZ11X53fF87Qj0qtJXGxr6Z","Molly rodokmen.jpg")</f>
        <v>Molly rodokmen.jpg</v>
      </c>
      <c r="AJ17" s="82" t="str">
        <f>HYPERLINK("https://drive.google.com/open?id=1tL8eug9pHEehipHBlD1WSbwmodhakRwu","Molly rodokmen 1.jpg")</f>
        <v>Molly rodokmen 1.jpg</v>
      </c>
      <c r="AK17" s="82" t="str">
        <f>HYPERLINK("https://drive.google.com/open?id=1asVHq26Q2TaM5PKt98_N4ivoBrXLTOem","Molly rodokmen 2.jpg")</f>
        <v>Molly rodokmen 2.jpg</v>
      </c>
      <c r="AL17" s="40" t="s">
        <v>4</v>
      </c>
      <c r="AM17" s="80"/>
      <c r="AN17" s="40" t="s">
        <v>405</v>
      </c>
      <c r="AO17" s="40" t="s">
        <v>25</v>
      </c>
      <c r="AP17" s="40" t="s">
        <v>25</v>
      </c>
      <c r="AQ17" s="80"/>
      <c r="AR17" s="80"/>
      <c r="AS17" s="80"/>
      <c r="AT17" s="40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40"/>
      <c r="BH17" s="40"/>
      <c r="BI17" s="40"/>
      <c r="BJ17" s="40"/>
      <c r="BK17" s="40"/>
    </row>
    <row r="18" spans="1:63" ht="23.25" customHeight="1">
      <c r="A18" s="85">
        <v>52</v>
      </c>
      <c r="B18" s="205">
        <v>18</v>
      </c>
      <c r="C18" s="33">
        <v>1</v>
      </c>
      <c r="D18" s="33" t="s">
        <v>158</v>
      </c>
      <c r="E18" s="33" t="s">
        <v>232</v>
      </c>
      <c r="F18" s="33" t="s">
        <v>100</v>
      </c>
      <c r="G18" s="33" t="s">
        <v>468</v>
      </c>
      <c r="H18" s="35"/>
      <c r="I18" s="34"/>
      <c r="J18" s="33" t="s">
        <v>469</v>
      </c>
      <c r="K18" s="33">
        <v>302</v>
      </c>
      <c r="L18" s="33" t="s">
        <v>470</v>
      </c>
      <c r="M18" s="33" t="s">
        <v>1</v>
      </c>
      <c r="N18" s="33">
        <v>73532</v>
      </c>
      <c r="O18" s="33" t="s">
        <v>471</v>
      </c>
      <c r="P18" s="34"/>
      <c r="Q18" s="33" t="s">
        <v>472</v>
      </c>
      <c r="R18" s="33" t="s">
        <v>200</v>
      </c>
      <c r="S18" s="33" t="s">
        <v>2</v>
      </c>
      <c r="T18" s="33" t="s">
        <v>255</v>
      </c>
      <c r="U18" s="34"/>
      <c r="V18" s="33" t="s">
        <v>1662</v>
      </c>
      <c r="W18" s="33" t="s">
        <v>473</v>
      </c>
      <c r="X18" s="33" t="s">
        <v>127</v>
      </c>
      <c r="Y18" s="35" t="s">
        <v>414</v>
      </c>
      <c r="Z18" s="33" t="s">
        <v>474</v>
      </c>
      <c r="AA18" s="33" t="s">
        <v>475</v>
      </c>
      <c r="AB18" s="33" t="s">
        <v>1663</v>
      </c>
      <c r="AC18" s="33" t="s">
        <v>1664</v>
      </c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3" t="s">
        <v>476</v>
      </c>
      <c r="AO18" s="33" t="s">
        <v>33</v>
      </c>
      <c r="AP18" s="33" t="s">
        <v>25</v>
      </c>
      <c r="AQ18" s="34"/>
      <c r="AR18" s="34"/>
      <c r="AS18" s="34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3"/>
      <c r="BH18" s="37"/>
      <c r="BI18" s="37"/>
      <c r="BJ18" s="37"/>
      <c r="BK18" s="37"/>
    </row>
    <row r="19" spans="1:63" ht="23.25" customHeight="1">
      <c r="A19" s="31">
        <v>141</v>
      </c>
      <c r="B19" s="205">
        <v>19</v>
      </c>
      <c r="C19" s="48">
        <v>1</v>
      </c>
      <c r="D19" s="48" t="s">
        <v>54</v>
      </c>
      <c r="E19" s="48" t="s">
        <v>232</v>
      </c>
      <c r="F19" s="48" t="s">
        <v>55</v>
      </c>
      <c r="G19" s="48" t="s">
        <v>1066</v>
      </c>
      <c r="H19" s="54" t="s">
        <v>1067</v>
      </c>
      <c r="I19" s="51"/>
      <c r="J19" s="48" t="s">
        <v>1068</v>
      </c>
      <c r="K19" s="48">
        <v>19</v>
      </c>
      <c r="L19" s="48" t="s">
        <v>1069</v>
      </c>
      <c r="M19" s="48" t="s">
        <v>1070</v>
      </c>
      <c r="N19" s="48">
        <v>33141</v>
      </c>
      <c r="O19" s="48" t="s">
        <v>1071</v>
      </c>
      <c r="P19" s="51"/>
      <c r="Q19" s="48" t="s">
        <v>1101</v>
      </c>
      <c r="R19" s="48" t="s">
        <v>1073</v>
      </c>
      <c r="S19" s="48" t="s">
        <v>2</v>
      </c>
      <c r="T19" s="48" t="s">
        <v>24</v>
      </c>
      <c r="U19" s="51"/>
      <c r="V19" s="48" t="s">
        <v>1665</v>
      </c>
      <c r="W19" s="48">
        <v>953010001975043</v>
      </c>
      <c r="X19" s="48" t="s">
        <v>1102</v>
      </c>
      <c r="Y19" s="52" t="s">
        <v>122</v>
      </c>
      <c r="Z19" s="48" t="s">
        <v>1103</v>
      </c>
      <c r="AA19" s="48" t="s">
        <v>1104</v>
      </c>
      <c r="AB19" s="48" t="s">
        <v>1173</v>
      </c>
      <c r="AC19" s="48" t="s">
        <v>1173</v>
      </c>
      <c r="AD19" s="51"/>
      <c r="AE19" s="51"/>
      <c r="AF19" s="55" t="str">
        <f>HYPERLINK("https://drive.google.com/open?id=1cgXt0wDskDQEpSOzh2XAFe9tKK2C3AqM","Transakce_2000006828944121.pdf")</f>
        <v>Transakce_2000006828944121.pdf</v>
      </c>
      <c r="AG19" s="51"/>
      <c r="AH19" s="55" t="str">
        <f>HYPERLINK("https://drive.google.com/open?id=1dUihtzc2cerQOZVUGrSaZnxrJrk3CCzN","Q Goldie2.jpg")</f>
        <v>Q Goldie2.jpg</v>
      </c>
      <c r="AI19" s="55" t="str">
        <f>HYPERLINK("https://drive.google.com/open?id=1K1a7XYc_04IWQpBlKxvdokotUj6jlb1Z","Q Goldie.jpg")</f>
        <v>Q Goldie.jpg</v>
      </c>
      <c r="AJ19" s="55" t="str">
        <f>HYPERLINK("https://drive.google.com/open?id=13D9mjA2X6P72GhcWWjonaT4sSsFkdxUN","Q Goldie (2).jpg")</f>
        <v>Q Goldie (2).jpg</v>
      </c>
      <c r="AK19" s="51"/>
      <c r="AL19" s="48" t="s">
        <v>4</v>
      </c>
      <c r="AM19" s="51"/>
      <c r="AN19" s="48" t="s">
        <v>1105</v>
      </c>
      <c r="AO19" s="48" t="s">
        <v>1106</v>
      </c>
      <c r="AP19" s="48" t="s">
        <v>246</v>
      </c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</row>
    <row r="20" spans="1:63" ht="23.25" customHeight="1">
      <c r="A20" s="31">
        <v>105</v>
      </c>
      <c r="B20" s="205">
        <v>20</v>
      </c>
      <c r="C20" s="48">
        <v>1</v>
      </c>
      <c r="D20" s="48" t="s">
        <v>158</v>
      </c>
      <c r="E20" s="48" t="s">
        <v>232</v>
      </c>
      <c r="F20" s="48" t="s">
        <v>820</v>
      </c>
      <c r="G20" s="48" t="s">
        <v>821</v>
      </c>
      <c r="H20" s="48">
        <v>775115002</v>
      </c>
      <c r="I20" s="51"/>
      <c r="J20" s="48" t="s">
        <v>822</v>
      </c>
      <c r="K20" s="48">
        <v>271</v>
      </c>
      <c r="L20" s="48" t="s">
        <v>823</v>
      </c>
      <c r="M20" s="48" t="s">
        <v>1</v>
      </c>
      <c r="N20" s="48">
        <v>58301</v>
      </c>
      <c r="O20" s="48" t="s">
        <v>824</v>
      </c>
      <c r="P20" s="51"/>
      <c r="Q20" s="48" t="s">
        <v>829</v>
      </c>
      <c r="R20" s="48" t="s">
        <v>200</v>
      </c>
      <c r="S20" s="48" t="s">
        <v>2</v>
      </c>
      <c r="T20" s="48" t="s">
        <v>255</v>
      </c>
      <c r="U20" s="51"/>
      <c r="V20" s="48" t="s">
        <v>1666</v>
      </c>
      <c r="W20" s="48">
        <v>89579</v>
      </c>
      <c r="X20" s="48" t="s">
        <v>127</v>
      </c>
      <c r="Y20" s="52" t="s">
        <v>122</v>
      </c>
      <c r="Z20" s="48" t="s">
        <v>504</v>
      </c>
      <c r="AA20" s="48" t="s">
        <v>830</v>
      </c>
      <c r="AB20" s="48" t="s">
        <v>1663</v>
      </c>
      <c r="AC20" s="48" t="s">
        <v>1495</v>
      </c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48" t="s">
        <v>831</v>
      </c>
      <c r="AO20" s="48" t="s">
        <v>25</v>
      </c>
      <c r="AP20" s="48" t="s">
        <v>25</v>
      </c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</row>
    <row r="21" spans="1:63" ht="23.25" customHeight="1">
      <c r="A21" s="31">
        <v>127</v>
      </c>
      <c r="B21" s="205">
        <v>21</v>
      </c>
      <c r="C21" s="48">
        <v>1</v>
      </c>
      <c r="D21" s="48" t="s">
        <v>158</v>
      </c>
      <c r="E21" s="48" t="s">
        <v>232</v>
      </c>
      <c r="F21" s="48" t="s">
        <v>13</v>
      </c>
      <c r="G21" s="48" t="s">
        <v>1667</v>
      </c>
      <c r="H21" s="48">
        <v>603144591</v>
      </c>
      <c r="I21" s="51"/>
      <c r="J21" s="48" t="s">
        <v>990</v>
      </c>
      <c r="K21" s="48">
        <v>315</v>
      </c>
      <c r="L21" s="48" t="s">
        <v>990</v>
      </c>
      <c r="M21" s="51"/>
      <c r="N21" s="51"/>
      <c r="O21" s="51"/>
      <c r="P21" s="51"/>
      <c r="Q21" s="48" t="s">
        <v>997</v>
      </c>
      <c r="R21" s="48" t="s">
        <v>200</v>
      </c>
      <c r="S21" s="48" t="s">
        <v>2</v>
      </c>
      <c r="T21" s="48" t="s">
        <v>255</v>
      </c>
      <c r="U21" s="51"/>
      <c r="V21" s="48" t="s">
        <v>1668</v>
      </c>
      <c r="W21" s="48" t="s">
        <v>998</v>
      </c>
      <c r="X21" s="48" t="s">
        <v>127</v>
      </c>
      <c r="Y21" s="52" t="s">
        <v>994</v>
      </c>
      <c r="Z21" s="48" t="s">
        <v>515</v>
      </c>
      <c r="AA21" s="48" t="s">
        <v>995</v>
      </c>
      <c r="AB21" s="48" t="s">
        <v>1663</v>
      </c>
      <c r="AC21" s="48" t="s">
        <v>1669</v>
      </c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48" t="s">
        <v>999</v>
      </c>
      <c r="AO21" s="48" t="s">
        <v>25</v>
      </c>
      <c r="AP21" s="48" t="s">
        <v>25</v>
      </c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</row>
    <row r="22" spans="1:63" ht="23.25" customHeight="1">
      <c r="A22" s="31">
        <v>157</v>
      </c>
      <c r="B22" s="205">
        <v>22</v>
      </c>
      <c r="C22" s="48">
        <v>1</v>
      </c>
      <c r="D22" s="48" t="s">
        <v>158</v>
      </c>
      <c r="E22" s="48" t="s">
        <v>232</v>
      </c>
      <c r="F22" s="48" t="s">
        <v>1203</v>
      </c>
      <c r="G22" s="48" t="s">
        <v>1204</v>
      </c>
      <c r="H22" s="48">
        <v>721825149</v>
      </c>
      <c r="I22" s="51"/>
      <c r="J22" s="48" t="s">
        <v>1205</v>
      </c>
      <c r="K22" s="48">
        <v>3577</v>
      </c>
      <c r="L22" s="48" t="s">
        <v>1206</v>
      </c>
      <c r="M22" s="51"/>
      <c r="N22" s="48">
        <v>27601</v>
      </c>
      <c r="O22" s="48" t="s">
        <v>1207</v>
      </c>
      <c r="P22" s="51"/>
      <c r="Q22" s="48" t="s">
        <v>1208</v>
      </c>
      <c r="R22" s="48" t="s">
        <v>211</v>
      </c>
      <c r="S22" s="48" t="s">
        <v>2</v>
      </c>
      <c r="T22" s="48" t="s">
        <v>255</v>
      </c>
      <c r="U22" s="51"/>
      <c r="V22" s="48" t="s">
        <v>1670</v>
      </c>
      <c r="W22" s="48" t="s">
        <v>1209</v>
      </c>
      <c r="X22" s="48" t="s">
        <v>1210</v>
      </c>
      <c r="Y22" s="52" t="s">
        <v>359</v>
      </c>
      <c r="Z22" s="48" t="s">
        <v>1042</v>
      </c>
      <c r="AA22" s="48" t="s">
        <v>1104</v>
      </c>
      <c r="AB22" s="48" t="s">
        <v>1173</v>
      </c>
      <c r="AC22" s="48" t="s">
        <v>1211</v>
      </c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48" t="s">
        <v>1212</v>
      </c>
      <c r="AO22" s="48" t="s">
        <v>33</v>
      </c>
      <c r="AP22" s="48" t="s">
        <v>25</v>
      </c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</row>
    <row r="23" spans="1:63" ht="23.25" customHeight="1">
      <c r="A23" s="31">
        <v>151</v>
      </c>
      <c r="B23" s="205">
        <v>23</v>
      </c>
      <c r="C23" s="48">
        <v>1</v>
      </c>
      <c r="D23" s="48" t="s">
        <v>158</v>
      </c>
      <c r="E23" s="48" t="s">
        <v>232</v>
      </c>
      <c r="F23" s="48" t="s">
        <v>31</v>
      </c>
      <c r="G23" s="48" t="s">
        <v>1156</v>
      </c>
      <c r="H23" s="48">
        <v>728211413</v>
      </c>
      <c r="I23" s="51"/>
      <c r="J23" s="48" t="s">
        <v>1157</v>
      </c>
      <c r="K23" s="48">
        <v>2720</v>
      </c>
      <c r="L23" s="48" t="s">
        <v>1158</v>
      </c>
      <c r="M23" s="48" t="s">
        <v>1</v>
      </c>
      <c r="N23" s="48">
        <v>53002</v>
      </c>
      <c r="O23" s="48" t="s">
        <v>1159</v>
      </c>
      <c r="P23" s="51"/>
      <c r="Q23" s="48" t="s">
        <v>1160</v>
      </c>
      <c r="R23" s="48" t="s">
        <v>200</v>
      </c>
      <c r="S23" s="48" t="s">
        <v>1161</v>
      </c>
      <c r="T23" s="48" t="s">
        <v>255</v>
      </c>
      <c r="U23" s="51"/>
      <c r="V23" s="48" t="s">
        <v>1671</v>
      </c>
      <c r="W23" s="48">
        <v>89592</v>
      </c>
      <c r="X23" s="48" t="s">
        <v>919</v>
      </c>
      <c r="Y23" s="52" t="s">
        <v>1162</v>
      </c>
      <c r="Z23" s="48" t="s">
        <v>1163</v>
      </c>
      <c r="AA23" s="48" t="s">
        <v>1164</v>
      </c>
      <c r="AB23" s="48" t="s">
        <v>1663</v>
      </c>
      <c r="AC23" s="48" t="s">
        <v>1672</v>
      </c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48" t="s">
        <v>1165</v>
      </c>
      <c r="AO23" s="48" t="s">
        <v>25</v>
      </c>
      <c r="AP23" s="48" t="s">
        <v>25</v>
      </c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</row>
    <row r="24" spans="1:63" ht="23.25" customHeight="1">
      <c r="A24" s="31">
        <v>126</v>
      </c>
      <c r="B24" s="205">
        <v>24</v>
      </c>
      <c r="C24" s="48">
        <v>1</v>
      </c>
      <c r="D24" s="48" t="s">
        <v>158</v>
      </c>
      <c r="E24" s="48" t="s">
        <v>232</v>
      </c>
      <c r="F24" s="48" t="s">
        <v>13</v>
      </c>
      <c r="G24" s="48" t="s">
        <v>1667</v>
      </c>
      <c r="H24" s="48">
        <v>603144591</v>
      </c>
      <c r="I24" s="51"/>
      <c r="J24" s="48" t="s">
        <v>990</v>
      </c>
      <c r="K24" s="48">
        <v>315</v>
      </c>
      <c r="L24" s="48" t="s">
        <v>990</v>
      </c>
      <c r="M24" s="48" t="s">
        <v>1</v>
      </c>
      <c r="N24" s="48">
        <v>56971</v>
      </c>
      <c r="O24" s="48" t="s">
        <v>991</v>
      </c>
      <c r="P24" s="51"/>
      <c r="Q24" s="48" t="s">
        <v>992</v>
      </c>
      <c r="R24" s="48" t="s">
        <v>200</v>
      </c>
      <c r="S24" s="48" t="s">
        <v>2</v>
      </c>
      <c r="T24" s="48" t="s">
        <v>255</v>
      </c>
      <c r="U24" s="51"/>
      <c r="V24" s="48" t="s">
        <v>1673</v>
      </c>
      <c r="W24" s="48" t="s">
        <v>993</v>
      </c>
      <c r="X24" s="48" t="s">
        <v>127</v>
      </c>
      <c r="Y24" s="52" t="s">
        <v>994</v>
      </c>
      <c r="Z24" s="48" t="s">
        <v>515</v>
      </c>
      <c r="AA24" s="48" t="s">
        <v>995</v>
      </c>
      <c r="AB24" s="48" t="s">
        <v>1663</v>
      </c>
      <c r="AC24" s="48" t="s">
        <v>1669</v>
      </c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48" t="s">
        <v>996</v>
      </c>
      <c r="AO24" s="48" t="s">
        <v>25</v>
      </c>
      <c r="AP24" s="48" t="s">
        <v>25</v>
      </c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</row>
    <row r="25" spans="1:63" ht="23.25" customHeight="1">
      <c r="A25" s="31">
        <v>108</v>
      </c>
      <c r="B25" s="205">
        <v>25</v>
      </c>
      <c r="C25" s="48">
        <v>1</v>
      </c>
      <c r="D25" s="48" t="s">
        <v>158</v>
      </c>
      <c r="E25" s="48" t="s">
        <v>232</v>
      </c>
      <c r="F25" s="48" t="s">
        <v>840</v>
      </c>
      <c r="G25" s="48" t="s">
        <v>841</v>
      </c>
      <c r="H25" s="48">
        <v>721942760</v>
      </c>
      <c r="I25" s="51"/>
      <c r="J25" s="48" t="s">
        <v>842</v>
      </c>
      <c r="K25" s="48">
        <v>2091</v>
      </c>
      <c r="L25" s="48" t="s">
        <v>843</v>
      </c>
      <c r="M25" s="48" t="s">
        <v>1</v>
      </c>
      <c r="N25" s="48">
        <v>58001</v>
      </c>
      <c r="O25" s="48" t="s">
        <v>844</v>
      </c>
      <c r="P25" s="51"/>
      <c r="Q25" s="48" t="s">
        <v>845</v>
      </c>
      <c r="R25" s="48" t="s">
        <v>293</v>
      </c>
      <c r="S25" s="48" t="s">
        <v>2</v>
      </c>
      <c r="T25" s="48" t="s">
        <v>255</v>
      </c>
      <c r="U25" s="51"/>
      <c r="V25" s="48" t="s">
        <v>1674</v>
      </c>
      <c r="W25" s="48">
        <v>67152</v>
      </c>
      <c r="X25" s="48" t="s">
        <v>241</v>
      </c>
      <c r="Y25" s="52" t="s">
        <v>359</v>
      </c>
      <c r="Z25" s="48" t="s">
        <v>846</v>
      </c>
      <c r="AA25" s="48" t="s">
        <v>847</v>
      </c>
      <c r="AB25" s="48" t="s">
        <v>1675</v>
      </c>
      <c r="AC25" s="48" t="s">
        <v>1676</v>
      </c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48" t="s">
        <v>848</v>
      </c>
      <c r="AO25" s="48" t="s">
        <v>33</v>
      </c>
      <c r="AP25" s="48" t="s">
        <v>25</v>
      </c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</row>
    <row r="26" spans="1:63" ht="23.25" customHeight="1">
      <c r="A26" s="31">
        <v>87</v>
      </c>
      <c r="B26" s="205">
        <v>26</v>
      </c>
      <c r="C26" s="48">
        <v>1</v>
      </c>
      <c r="D26" s="48" t="s">
        <v>158</v>
      </c>
      <c r="E26" s="48" t="s">
        <v>232</v>
      </c>
      <c r="F26" s="48" t="s">
        <v>18</v>
      </c>
      <c r="G26" s="48" t="s">
        <v>727</v>
      </c>
      <c r="H26" s="48">
        <v>728474436</v>
      </c>
      <c r="I26" s="53"/>
      <c r="J26" s="48" t="s">
        <v>728</v>
      </c>
      <c r="K26" s="48">
        <v>337</v>
      </c>
      <c r="L26" s="48" t="s">
        <v>729</v>
      </c>
      <c r="M26" s="48" t="s">
        <v>1</v>
      </c>
      <c r="N26" s="48">
        <v>34561</v>
      </c>
      <c r="O26" s="53"/>
      <c r="P26" s="53"/>
      <c r="Q26" s="48" t="s">
        <v>734</v>
      </c>
      <c r="R26" s="48" t="s">
        <v>560</v>
      </c>
      <c r="S26" s="48" t="s">
        <v>2</v>
      </c>
      <c r="T26" s="48" t="s">
        <v>255</v>
      </c>
      <c r="U26" s="53"/>
      <c r="V26" s="48" t="s">
        <v>1677</v>
      </c>
      <c r="W26" s="48" t="s">
        <v>735</v>
      </c>
      <c r="X26" s="48" t="s">
        <v>127</v>
      </c>
      <c r="Y26" s="52" t="s">
        <v>122</v>
      </c>
      <c r="Z26" s="48" t="s">
        <v>736</v>
      </c>
      <c r="AA26" s="48" t="s">
        <v>737</v>
      </c>
      <c r="AB26" s="48" t="s">
        <v>1431</v>
      </c>
      <c r="AC26" s="48" t="s">
        <v>1431</v>
      </c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48" t="s">
        <v>738</v>
      </c>
      <c r="AO26" s="48" t="s">
        <v>25</v>
      </c>
      <c r="AP26" s="48" t="s">
        <v>739</v>
      </c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48"/>
      <c r="BH26" s="51"/>
      <c r="BI26" s="51"/>
      <c r="BJ26" s="51"/>
      <c r="BK26" s="51"/>
    </row>
    <row r="27" spans="1:63" ht="23.25" customHeight="1">
      <c r="A27" s="31">
        <v>167</v>
      </c>
      <c r="B27" s="205">
        <v>27</v>
      </c>
      <c r="C27" s="48">
        <v>1</v>
      </c>
      <c r="D27" s="48" t="s">
        <v>158</v>
      </c>
      <c r="E27" s="48" t="s">
        <v>232</v>
      </c>
      <c r="F27" s="48" t="s">
        <v>67</v>
      </c>
      <c r="G27" s="48" t="s">
        <v>1213</v>
      </c>
      <c r="H27" s="48">
        <v>605589369</v>
      </c>
      <c r="I27" s="51"/>
      <c r="J27" s="48" t="s">
        <v>1214</v>
      </c>
      <c r="K27" s="48">
        <v>2826</v>
      </c>
      <c r="L27" s="48" t="s">
        <v>1215</v>
      </c>
      <c r="M27" s="51"/>
      <c r="N27" s="48">
        <v>39005</v>
      </c>
      <c r="O27" s="48" t="s">
        <v>1216</v>
      </c>
      <c r="P27" s="51"/>
      <c r="Q27" s="48" t="s">
        <v>1257</v>
      </c>
      <c r="R27" s="48" t="s">
        <v>1218</v>
      </c>
      <c r="S27" s="48" t="s">
        <v>2</v>
      </c>
      <c r="T27" s="48" t="s">
        <v>255</v>
      </c>
      <c r="U27" s="51"/>
      <c r="V27" s="48" t="s">
        <v>1678</v>
      </c>
      <c r="W27" s="48" t="s">
        <v>1258</v>
      </c>
      <c r="X27" s="48" t="s">
        <v>1259</v>
      </c>
      <c r="Y27" s="52" t="s">
        <v>1260</v>
      </c>
      <c r="Z27" s="48" t="s">
        <v>1261</v>
      </c>
      <c r="AA27" s="48" t="s">
        <v>1262</v>
      </c>
      <c r="AB27" s="48" t="s">
        <v>1223</v>
      </c>
      <c r="AC27" s="48" t="s">
        <v>1223</v>
      </c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48" t="s">
        <v>1263</v>
      </c>
      <c r="AO27" s="48"/>
      <c r="AP27" s="48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</row>
    <row r="28" spans="1:63" ht="23.25" customHeight="1">
      <c r="A28" s="85">
        <v>46</v>
      </c>
      <c r="B28" s="205">
        <v>28</v>
      </c>
      <c r="C28" s="48">
        <v>1</v>
      </c>
      <c r="D28" s="48" t="s">
        <v>406</v>
      </c>
      <c r="E28" s="48" t="s">
        <v>232</v>
      </c>
      <c r="F28" s="48" t="s">
        <v>422</v>
      </c>
      <c r="G28" s="48" t="s">
        <v>423</v>
      </c>
      <c r="H28" s="52" t="s">
        <v>424</v>
      </c>
      <c r="I28" s="179"/>
      <c r="J28" s="48" t="s">
        <v>425</v>
      </c>
      <c r="K28" s="48">
        <v>93</v>
      </c>
      <c r="L28" s="48" t="s">
        <v>425</v>
      </c>
      <c r="M28" s="48" t="s">
        <v>426</v>
      </c>
      <c r="N28" s="179"/>
      <c r="O28" s="48" t="s">
        <v>427</v>
      </c>
      <c r="P28" s="179"/>
      <c r="Q28" s="48" t="s">
        <v>432</v>
      </c>
      <c r="R28" s="48" t="s">
        <v>433</v>
      </c>
      <c r="S28" s="48" t="s">
        <v>2</v>
      </c>
      <c r="T28" s="48" t="s">
        <v>255</v>
      </c>
      <c r="U28" s="179"/>
      <c r="V28" s="48" t="s">
        <v>1679</v>
      </c>
      <c r="W28" s="48" t="s">
        <v>434</v>
      </c>
      <c r="X28" s="48" t="s">
        <v>435</v>
      </c>
      <c r="Y28" s="52" t="s">
        <v>436</v>
      </c>
      <c r="Z28" s="48" t="s">
        <v>437</v>
      </c>
      <c r="AA28" s="48" t="s">
        <v>438</v>
      </c>
      <c r="AB28" s="48" t="s">
        <v>1437</v>
      </c>
      <c r="AC28" s="48" t="s">
        <v>1437</v>
      </c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48"/>
      <c r="BH28" s="48"/>
      <c r="BI28" s="48"/>
      <c r="BJ28" s="48"/>
      <c r="BK28" s="48"/>
    </row>
    <row r="29" spans="1:63" ht="23.25" customHeight="1">
      <c r="A29" s="206">
        <v>177</v>
      </c>
      <c r="B29" s="205">
        <v>29</v>
      </c>
      <c r="C29" s="207" t="s">
        <v>54</v>
      </c>
      <c r="D29" s="208" t="s">
        <v>158</v>
      </c>
      <c r="E29" s="207" t="s">
        <v>1340</v>
      </c>
      <c r="F29" s="208" t="s">
        <v>1340</v>
      </c>
      <c r="G29" s="209" t="s">
        <v>1341</v>
      </c>
      <c r="H29" s="210">
        <v>725691363</v>
      </c>
      <c r="I29" s="207" t="s">
        <v>1342</v>
      </c>
      <c r="J29" s="209" t="s">
        <v>1343</v>
      </c>
      <c r="K29" s="208">
        <v>224</v>
      </c>
      <c r="L29" s="208" t="s">
        <v>1343</v>
      </c>
      <c r="M29" s="210">
        <v>33011</v>
      </c>
      <c r="N29" s="207" t="s">
        <v>1344</v>
      </c>
      <c r="O29" s="211"/>
      <c r="P29" s="207" t="s">
        <v>1345</v>
      </c>
      <c r="Q29" s="208" t="s">
        <v>1682</v>
      </c>
      <c r="R29" s="207" t="s">
        <v>1346</v>
      </c>
      <c r="S29" s="208" t="s">
        <v>2</v>
      </c>
      <c r="T29" s="211"/>
      <c r="U29" s="207"/>
      <c r="V29" s="209" t="s">
        <v>1683</v>
      </c>
      <c r="W29" s="210">
        <v>941000022998141</v>
      </c>
      <c r="X29" s="208" t="s">
        <v>1684</v>
      </c>
      <c r="Y29" s="212" t="s">
        <v>1347</v>
      </c>
      <c r="Z29" s="207" t="s">
        <v>1348</v>
      </c>
      <c r="AA29" s="207" t="s">
        <v>648</v>
      </c>
      <c r="AB29" s="207" t="s">
        <v>1349</v>
      </c>
      <c r="AC29" s="207" t="s">
        <v>1349</v>
      </c>
      <c r="AD29" s="213" t="str">
        <f>HYPERLINK("https://drive.google.com/open?id=1s9uE0NExOhOl061BddncACpaToeLpl_g","inbound2184730137886158307.jpg")</f>
        <v>inbound2184730137886158307.jpg</v>
      </c>
      <c r="AE29" s="213" t="str">
        <f>HYPERLINK("https://drive.google.com/open?id=1zMpQ3uioGA5oRyYWWxLVlMgOelj8Oh3R","inbound7306840146047018839.jpg")</f>
        <v>inbound7306840146047018839.jpg</v>
      </c>
      <c r="AF29" s="213" t="str">
        <f>HYPERLINK("https://drive.google.com/open?id=1XOTdWAvSlvEm58Qg_U4AXtL4rCduB23L","inbound413558708721558362.jpg")</f>
        <v>inbound413558708721558362.jpg</v>
      </c>
      <c r="AG29" s="213" t="str">
        <f>HYPERLINK("https://drive.google.com/open?id=1N_dUgotaZuXs0n1u6cygia3e6OTlAe2c","inbound5204316640908153374.jpg")</f>
        <v>inbound5204316640908153374.jpg</v>
      </c>
      <c r="AH29" s="213" t="str">
        <f>HYPERLINK("https://drive.google.com/open?id=1gX1Fn-HGC_yXw3IZuFpQVlZ8inBmqq13","inbound2006550607623855150.jpg")</f>
        <v>inbound2006550607623855150.jpg</v>
      </c>
      <c r="AI29" s="213" t="str">
        <f>HYPERLINK("https://drive.google.com/open?id=1clPEEDMQi9Cy4iThl6ry2ncd2eZbqnyb","inbound6066678869761437277.jpg")</f>
        <v>inbound6066678869761437277.jpg</v>
      </c>
      <c r="AJ29" s="211"/>
      <c r="AK29" s="207" t="s">
        <v>4</v>
      </c>
      <c r="AL29" s="211"/>
      <c r="AM29" s="207" t="s">
        <v>1350</v>
      </c>
      <c r="AN29" s="1" t="s">
        <v>1350</v>
      </c>
      <c r="AO29" s="208" t="s">
        <v>38</v>
      </c>
      <c r="AP29" s="214" t="s">
        <v>1351</v>
      </c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51"/>
    </row>
    <row r="30" spans="1:63" ht="23.25" customHeight="1">
      <c r="A30" s="42">
        <v>74</v>
      </c>
      <c r="B30" s="205">
        <v>30</v>
      </c>
      <c r="C30" s="40">
        <v>1</v>
      </c>
      <c r="D30" s="40" t="s">
        <v>54</v>
      </c>
      <c r="E30" s="40" t="s">
        <v>650</v>
      </c>
      <c r="F30" s="40" t="s">
        <v>651</v>
      </c>
      <c r="G30" s="40" t="s">
        <v>641</v>
      </c>
      <c r="H30" s="107" t="s">
        <v>652</v>
      </c>
      <c r="I30" s="80"/>
      <c r="J30" s="40" t="s">
        <v>643</v>
      </c>
      <c r="K30" s="40">
        <v>835</v>
      </c>
      <c r="L30" s="40" t="s">
        <v>644</v>
      </c>
      <c r="M30" s="40" t="s">
        <v>11</v>
      </c>
      <c r="N30" s="40">
        <v>35709</v>
      </c>
      <c r="O30" s="40" t="s">
        <v>467</v>
      </c>
      <c r="P30" s="80"/>
      <c r="Q30" s="40" t="s">
        <v>653</v>
      </c>
      <c r="R30" s="40" t="s">
        <v>646</v>
      </c>
      <c r="S30" s="40" t="s">
        <v>2</v>
      </c>
      <c r="T30" s="40" t="s">
        <v>37</v>
      </c>
      <c r="U30" s="40"/>
      <c r="V30" s="40" t="s">
        <v>1685</v>
      </c>
      <c r="W30" s="40">
        <v>203164000031081</v>
      </c>
      <c r="X30" s="40" t="s">
        <v>127</v>
      </c>
      <c r="Y30" s="41" t="s">
        <v>359</v>
      </c>
      <c r="Z30" s="40" t="s">
        <v>647</v>
      </c>
      <c r="AA30" s="40" t="s">
        <v>654</v>
      </c>
      <c r="AB30" s="40" t="s">
        <v>1686</v>
      </c>
      <c r="AC30" s="40" t="s">
        <v>1427</v>
      </c>
      <c r="AD30" s="80"/>
      <c r="AE30" s="82" t="str">
        <f>HYPERLINK("https://drive.google.com/open?id=1Yo_8aA2eBEOAXM1f6f6C4AoC-ZBuoa1p","Skener_20210726 (2).png")</f>
        <v>Skener_20210726 (2).png</v>
      </c>
      <c r="AF30" s="82" t="str">
        <f>HYPERLINK("https://drive.google.com/open?id=1lCYA2X3qPbLKaE_pcY6KHix7nL6dtIiA","Skener_20210725 (4).png")</f>
        <v>Skener_20210725 (4).png</v>
      </c>
      <c r="AG30" s="82" t="str">
        <f>HYPERLINK("https://drive.google.com/open?id=13rf8sK4PEErLZbk9T6CA5PO8vgApQz8P","Skener_20210725 (2).png")</f>
        <v>Skener_20210725 (2).png</v>
      </c>
      <c r="AH30" s="82" t="str">
        <f>HYPERLINK("https://drive.google.com/open?id=1RZSYvT3tN0v6UoLFu_dwY_b4MTX8XJ8Z","Skener_20210725 (2).png")</f>
        <v>Skener_20210725 (2).png</v>
      </c>
      <c r="AI30" s="82" t="str">
        <f>HYPERLINK("https://drive.google.com/open?id=1dAdDIkPv3oomdWlPuNoMplJgsV19QIYo","Skener_20210725.png")</f>
        <v>Skener_20210725.png</v>
      </c>
      <c r="AJ30" s="82" t="str">
        <f>HYPERLINK("https://drive.google.com/open?id=1oeOvq52qZwj2OOuRjEKdpAYxAXPL2HE8","Skener_20210725 (2).png")</f>
        <v>Skener_20210725 (2).png</v>
      </c>
      <c r="AK30" s="82" t="str">
        <f>HYPERLINK("https://drive.google.com/open?id=1V_iDGu3SNPmo2Be0ZHYR_sXXExrT9L9g","Skener_20210725 (3).png")</f>
        <v>Skener_20210725 (3).png</v>
      </c>
      <c r="AL30" s="40" t="s">
        <v>4</v>
      </c>
      <c r="AM30" s="80"/>
      <c r="AN30" s="40" t="s">
        <v>655</v>
      </c>
      <c r="AO30" s="40" t="s">
        <v>656</v>
      </c>
      <c r="AP30" s="40" t="s">
        <v>39</v>
      </c>
      <c r="AQ30" s="80"/>
      <c r="AR30" s="80"/>
      <c r="AS30" s="80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40"/>
      <c r="BH30" s="84"/>
      <c r="BI30" s="84"/>
      <c r="BJ30" s="84"/>
      <c r="BK30" s="84"/>
    </row>
    <row r="31" spans="1:63" ht="23.25" customHeight="1">
      <c r="A31" s="38">
        <v>2</v>
      </c>
      <c r="B31" s="205">
        <v>31</v>
      </c>
      <c r="C31" s="40">
        <v>1</v>
      </c>
      <c r="D31" s="40" t="s">
        <v>54</v>
      </c>
      <c r="E31" s="40"/>
      <c r="F31" s="40" t="s">
        <v>55</v>
      </c>
      <c r="G31" s="40" t="s">
        <v>56</v>
      </c>
      <c r="H31" s="40">
        <v>737461128</v>
      </c>
      <c r="I31" s="40"/>
      <c r="J31" s="40" t="s">
        <v>57</v>
      </c>
      <c r="K31" s="40" t="s">
        <v>58</v>
      </c>
      <c r="L31" s="40" t="s">
        <v>59</v>
      </c>
      <c r="M31" s="40" t="s">
        <v>11</v>
      </c>
      <c r="N31" s="40">
        <v>7190</v>
      </c>
      <c r="O31" s="182" t="s">
        <v>60</v>
      </c>
      <c r="P31" s="40"/>
      <c r="Q31" s="40" t="s">
        <v>61</v>
      </c>
      <c r="R31" s="153" t="s">
        <v>266</v>
      </c>
      <c r="S31" s="40" t="s">
        <v>2</v>
      </c>
      <c r="T31" s="40" t="s">
        <v>37</v>
      </c>
      <c r="U31" s="40"/>
      <c r="V31" s="40" t="s">
        <v>1687</v>
      </c>
      <c r="W31" s="40">
        <v>941000018999494</v>
      </c>
      <c r="X31" s="40" t="s">
        <v>62</v>
      </c>
      <c r="Y31" s="41" t="s">
        <v>63</v>
      </c>
      <c r="Z31" s="40" t="s">
        <v>64</v>
      </c>
      <c r="AA31" s="40" t="s">
        <v>65</v>
      </c>
      <c r="AB31" s="40" t="s">
        <v>1446</v>
      </c>
      <c r="AC31" s="40" t="s">
        <v>9</v>
      </c>
      <c r="AD31" s="40"/>
      <c r="AE31" s="95" t="str">
        <f>HYPERLINK("https://drive.google.com/open?id=1f8nP3WFa3cI8M6DWNaFqWWToJab177Ef","Carmen1.jpg")</f>
        <v>Carmen1.jpg</v>
      </c>
      <c r="AF31" s="95" t="str">
        <f>HYPERLINK("https://drive.google.com/open?id=1Ftaa0CxApf6Bx26hCbd1XHFNmo5Q-91q","PTV_TPS_CZ_CZ (2).pdf")</f>
        <v>PTV_TPS_CZ_CZ (2).pdf</v>
      </c>
      <c r="AG31" s="95" t="str">
        <f>HYPERLINK("https://drive.google.com/open?id=1uGXNW1pOLGbAX_zNtmvojZFajfiZv3oi","206794772_1609134569291472_4110433929458251141_n.jpg")</f>
        <v>206794772_1609134569291472_4110433929458251141_n.jpg</v>
      </c>
      <c r="AH31" s="95" t="str">
        <f>HYPERLINK("https://drive.google.com/open?id=1kWxQkBa_G8RawTdw7r_xHiqzurSC4KyK","207393325_335036508066653_3909461952237952230_n.jpg")</f>
        <v>207393325_335036508066653_3909461952237952230_n.jpg</v>
      </c>
      <c r="AI31" s="95" t="str">
        <f>HYPERLINK("https://drive.google.com/open?id=1bkMfW3Oxko2po4wphJaVUdl-u90Fkdet","205963581_332628728454849_7518495088865611110_n.jpg")</f>
        <v>205963581_332628728454849_7518495088865611110_n.jpg</v>
      </c>
      <c r="AJ31" s="95" t="str">
        <f>HYPERLINK("https://drive.google.com/open?id=17ai49pGuMS2IfOoiZB07Rd0f5QjOFDft","205628056_1437987063228314_501193895915805651_n.jpg")</f>
        <v>205628056_1437987063228314_501193895915805651_n.jpg</v>
      </c>
      <c r="AK31" s="40"/>
      <c r="AL31" s="40" t="s">
        <v>4</v>
      </c>
      <c r="AM31" s="40"/>
      <c r="AN31" s="40" t="s">
        <v>66</v>
      </c>
      <c r="AO31" s="40" t="s">
        <v>25</v>
      </c>
      <c r="AP31" s="40" t="s">
        <v>25</v>
      </c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</row>
    <row r="32" spans="1:63" ht="23.25" customHeight="1">
      <c r="A32" s="31">
        <v>116</v>
      </c>
      <c r="B32" s="205">
        <v>32</v>
      </c>
      <c r="C32" s="48">
        <v>1</v>
      </c>
      <c r="D32" s="48" t="s">
        <v>54</v>
      </c>
      <c r="E32" s="48" t="s">
        <v>454</v>
      </c>
      <c r="F32" s="48" t="s">
        <v>898</v>
      </c>
      <c r="G32" s="48" t="s">
        <v>899</v>
      </c>
      <c r="H32" s="54" t="s">
        <v>900</v>
      </c>
      <c r="I32" s="51"/>
      <c r="J32" s="48" t="s">
        <v>901</v>
      </c>
      <c r="K32" s="48">
        <v>203</v>
      </c>
      <c r="L32" s="48" t="s">
        <v>902</v>
      </c>
      <c r="M32" s="48" t="s">
        <v>11</v>
      </c>
      <c r="N32" s="48">
        <v>25721</v>
      </c>
      <c r="O32" s="48" t="s">
        <v>903</v>
      </c>
      <c r="P32" s="51"/>
      <c r="Q32" s="48" t="s">
        <v>904</v>
      </c>
      <c r="R32" s="48" t="s">
        <v>905</v>
      </c>
      <c r="S32" s="48" t="s">
        <v>2</v>
      </c>
      <c r="T32" s="48" t="s">
        <v>37</v>
      </c>
      <c r="U32" s="48" t="s">
        <v>906</v>
      </c>
      <c r="V32" s="48" t="s">
        <v>1690</v>
      </c>
      <c r="W32" s="48">
        <v>981098104287796</v>
      </c>
      <c r="X32" s="48" t="s">
        <v>907</v>
      </c>
      <c r="Y32" s="52" t="s">
        <v>908</v>
      </c>
      <c r="Z32" s="48" t="s">
        <v>909</v>
      </c>
      <c r="AA32" s="48" t="s">
        <v>910</v>
      </c>
      <c r="AB32" s="48" t="s">
        <v>1691</v>
      </c>
      <c r="AC32" s="48" t="s">
        <v>1691</v>
      </c>
      <c r="AD32" s="51"/>
      <c r="AE32" s="51"/>
      <c r="AF32" s="55" t="str">
        <f>HYPERLINK("https://drive.google.com/open?id=1ydSZG0u7q3zoU3FPF8_OR-b5EoM0B2FV","Transakce_2000006774248393.pdf")</f>
        <v>Transakce_2000006774248393.pdf</v>
      </c>
      <c r="AG32" s="51"/>
      <c r="AH32" s="51"/>
      <c r="AI32" s="55" t="str">
        <f>HYPERLINK("https://drive.google.com/open?id=1kDwMGZMMH0c6ZlXHZXiQAVOwCwNj42GR","image.jpg")</f>
        <v>image.jpg</v>
      </c>
      <c r="AJ32" s="55" t="str">
        <f>HYPERLINK("https://drive.google.com/open?id=1tol0FJ_a-RDX9gmLudmS9TpF8Wa7QeRm","image.jpg")</f>
        <v>image.jpg</v>
      </c>
      <c r="AK32" s="55" t="str">
        <f>HYPERLINK("https://drive.google.com/open?id=1pXRUJr8z2CE3HUt8B-LJfql1Svsdaab-","image.jpg")</f>
        <v>image.jpg</v>
      </c>
      <c r="AL32" s="48" t="s">
        <v>4</v>
      </c>
      <c r="AM32" s="51"/>
      <c r="AN32" s="48" t="s">
        <v>911</v>
      </c>
      <c r="AO32" s="48" t="s">
        <v>113</v>
      </c>
      <c r="AP32" s="48" t="s">
        <v>113</v>
      </c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</row>
    <row r="33" spans="1:63" ht="25.5">
      <c r="A33" s="31">
        <v>88</v>
      </c>
      <c r="B33" s="205">
        <v>33</v>
      </c>
      <c r="C33" s="48">
        <v>1</v>
      </c>
      <c r="D33" s="48" t="s">
        <v>158</v>
      </c>
      <c r="E33" s="48" t="s">
        <v>454</v>
      </c>
      <c r="F33" s="48" t="s">
        <v>12</v>
      </c>
      <c r="G33" s="48" t="s">
        <v>740</v>
      </c>
      <c r="H33" s="48">
        <v>724579078</v>
      </c>
      <c r="I33" s="53"/>
      <c r="J33" s="48" t="s">
        <v>741</v>
      </c>
      <c r="K33" s="48">
        <v>37</v>
      </c>
      <c r="L33" s="48" t="s">
        <v>208</v>
      </c>
      <c r="M33" s="48" t="s">
        <v>1</v>
      </c>
      <c r="N33" s="48">
        <v>30100</v>
      </c>
      <c r="O33" s="53"/>
      <c r="P33" s="53"/>
      <c r="Q33" s="48" t="s">
        <v>742</v>
      </c>
      <c r="R33" s="48" t="s">
        <v>743</v>
      </c>
      <c r="S33" s="48" t="s">
        <v>2</v>
      </c>
      <c r="T33" s="48" t="s">
        <v>704</v>
      </c>
      <c r="U33" s="53"/>
      <c r="V33" s="48" t="s">
        <v>1692</v>
      </c>
      <c r="W33" s="48">
        <v>18613</v>
      </c>
      <c r="X33" s="48" t="s">
        <v>127</v>
      </c>
      <c r="Y33" s="52" t="s">
        <v>213</v>
      </c>
      <c r="Z33" s="48" t="s">
        <v>744</v>
      </c>
      <c r="AA33" s="48" t="s">
        <v>745</v>
      </c>
      <c r="AB33" s="48" t="s">
        <v>1693</v>
      </c>
      <c r="AC33" s="48" t="s">
        <v>1693</v>
      </c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48" t="s">
        <v>746</v>
      </c>
      <c r="AO33" s="48" t="s">
        <v>25</v>
      </c>
      <c r="AP33" s="48" t="s">
        <v>25</v>
      </c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48"/>
      <c r="BH33" s="51"/>
      <c r="BI33" s="51"/>
      <c r="BJ33" s="51"/>
      <c r="BK33" s="51"/>
    </row>
    <row r="34" spans="1:63" ht="23.25" customHeight="1">
      <c r="A34" s="31">
        <v>132</v>
      </c>
      <c r="B34" s="205">
        <v>34</v>
      </c>
      <c r="C34" s="48">
        <v>1</v>
      </c>
      <c r="D34" s="48" t="s">
        <v>42</v>
      </c>
      <c r="E34" s="48" t="s">
        <v>232</v>
      </c>
      <c r="F34" s="48" t="s">
        <v>806</v>
      </c>
      <c r="G34" s="48" t="s">
        <v>1038</v>
      </c>
      <c r="H34" s="48">
        <v>739059971</v>
      </c>
      <c r="I34" s="51"/>
      <c r="J34" s="48" t="s">
        <v>1039</v>
      </c>
      <c r="K34" s="48">
        <v>122</v>
      </c>
      <c r="L34" s="48" t="s">
        <v>1039</v>
      </c>
      <c r="M34" s="48" t="s">
        <v>11</v>
      </c>
      <c r="N34" s="48">
        <v>33013</v>
      </c>
      <c r="O34" s="48" t="s">
        <v>1040</v>
      </c>
      <c r="P34" s="51"/>
      <c r="Q34" s="48" t="s">
        <v>1041</v>
      </c>
      <c r="R34" s="48" t="s">
        <v>211</v>
      </c>
      <c r="S34" s="48" t="s">
        <v>2</v>
      </c>
      <c r="T34" s="48" t="s">
        <v>24</v>
      </c>
      <c r="U34" s="51"/>
      <c r="V34" s="48" t="s">
        <v>1561</v>
      </c>
      <c r="W34" s="48">
        <v>956000010894152</v>
      </c>
      <c r="X34" s="48" t="s">
        <v>359</v>
      </c>
      <c r="Y34" s="52" t="s">
        <v>359</v>
      </c>
      <c r="Z34" s="48" t="s">
        <v>1042</v>
      </c>
      <c r="AA34" s="48" t="s">
        <v>853</v>
      </c>
      <c r="AB34" s="48" t="s">
        <v>1562</v>
      </c>
      <c r="AC34" s="48" t="s">
        <v>1563</v>
      </c>
      <c r="AD34" s="51"/>
      <c r="AE34" s="55" t="str">
        <f>HYPERLINK("https://drive.google.com/open?id=1EBvj-l1TBWvwQltS_S6rDOorMsKmSQsf","inbound2112992971165050821.jpg")</f>
        <v>inbound2112992971165050821.jpg</v>
      </c>
      <c r="AF34" s="55" t="str">
        <f>HYPERLINK("https://drive.google.com/open?id=1xAmTml7JfeMgSGALspAw2ibDgpPsn6Iq","inbound1089579110344670618.png")</f>
        <v>inbound1089579110344670618.png</v>
      </c>
      <c r="AG34" s="55" t="str">
        <f>HYPERLINK("https://drive.google.com/open?id=1j9hqGeuq1syQfZ1SsyFTbSVlSSidUm6K","inbound3307533239208368624.jpg")</f>
        <v>inbound3307533239208368624.jpg</v>
      </c>
      <c r="AH34" s="55" t="str">
        <f>HYPERLINK("https://drive.google.com/open?id=140uRJvyOkf2S6muUf2Y_GUmI8-3T6Jab","inbound596255327296942136.jpg")</f>
        <v>inbound596255327296942136.jpg</v>
      </c>
      <c r="AI34" s="55" t="str">
        <f>HYPERLINK("https://drive.google.com/open?id=1S8FgyOgiqdsYFotVNSvPWVV8ULWsp28c","inbound164599621432405893.jpg")</f>
        <v>inbound164599621432405893.jpg</v>
      </c>
      <c r="AJ34" s="55" t="str">
        <f>HYPERLINK("https://drive.google.com/open?id=1TQRgphqCuFbyup1yv5jwqWw6duU5_aLy","inbound6024658953819502062.jpg")</f>
        <v>inbound6024658953819502062.jpg</v>
      </c>
      <c r="AK34" s="55" t="str">
        <f>HYPERLINK("https://drive.google.com/open?id=1QkVnJkgwPFwTa0NApKvr3zX8cQowSVp4","inbound6220050518742054880.jpg")</f>
        <v>inbound6220050518742054880.jpg</v>
      </c>
      <c r="AL34" s="48" t="s">
        <v>4</v>
      </c>
      <c r="AM34" s="51"/>
      <c r="AN34" s="48" t="s">
        <v>1043</v>
      </c>
      <c r="AO34" s="48" t="s">
        <v>25</v>
      </c>
      <c r="AP34" s="48" t="s">
        <v>25</v>
      </c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</row>
    <row r="35" spans="1:63" ht="23.25" customHeight="1">
      <c r="A35" s="62">
        <v>28</v>
      </c>
      <c r="B35" s="205">
        <v>35</v>
      </c>
      <c r="C35" s="64">
        <v>1</v>
      </c>
      <c r="D35" s="64" t="s">
        <v>170</v>
      </c>
      <c r="E35" s="64" t="s">
        <v>232</v>
      </c>
      <c r="F35" s="64" t="s">
        <v>13</v>
      </c>
      <c r="G35" s="64" t="s">
        <v>287</v>
      </c>
      <c r="H35" s="64" t="s">
        <v>288</v>
      </c>
      <c r="I35" s="64"/>
      <c r="J35" s="64" t="s">
        <v>298</v>
      </c>
      <c r="K35" s="64">
        <v>836</v>
      </c>
      <c r="L35" s="64" t="s">
        <v>290</v>
      </c>
      <c r="M35" s="64" t="s">
        <v>17</v>
      </c>
      <c r="N35" s="64"/>
      <c r="O35" s="64" t="s">
        <v>291</v>
      </c>
      <c r="P35" s="64"/>
      <c r="Q35" s="64" t="s">
        <v>299</v>
      </c>
      <c r="R35" s="64" t="s">
        <v>300</v>
      </c>
      <c r="S35" s="64" t="s">
        <v>2</v>
      </c>
      <c r="T35" s="64" t="s">
        <v>255</v>
      </c>
      <c r="U35" s="64"/>
      <c r="V35" s="64" t="s">
        <v>1564</v>
      </c>
      <c r="W35" s="64" t="s">
        <v>301</v>
      </c>
      <c r="X35" s="64" t="s">
        <v>359</v>
      </c>
      <c r="Y35" s="65" t="s">
        <v>359</v>
      </c>
      <c r="Z35" s="64" t="s">
        <v>302</v>
      </c>
      <c r="AA35" s="64" t="s">
        <v>303</v>
      </c>
      <c r="AB35" s="64" t="s">
        <v>1565</v>
      </c>
      <c r="AC35" s="64" t="s">
        <v>1565</v>
      </c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</row>
    <row r="36" spans="1:63" ht="23.25" customHeight="1">
      <c r="A36" s="31">
        <v>103</v>
      </c>
      <c r="B36" s="205">
        <v>36</v>
      </c>
      <c r="C36" s="48">
        <v>1</v>
      </c>
      <c r="D36" s="48" t="s">
        <v>170</v>
      </c>
      <c r="E36" s="48" t="s">
        <v>232</v>
      </c>
      <c r="F36" s="48" t="s">
        <v>810</v>
      </c>
      <c r="G36" s="48" t="s">
        <v>811</v>
      </c>
      <c r="H36" s="48">
        <v>602702061</v>
      </c>
      <c r="I36" s="51"/>
      <c r="J36" s="48" t="s">
        <v>812</v>
      </c>
      <c r="K36" s="48">
        <v>17</v>
      </c>
      <c r="L36" s="48" t="s">
        <v>813</v>
      </c>
      <c r="M36" s="48" t="s">
        <v>1</v>
      </c>
      <c r="N36" s="51"/>
      <c r="O36" s="48" t="s">
        <v>814</v>
      </c>
      <c r="P36" s="51"/>
      <c r="Q36" s="48" t="s">
        <v>815</v>
      </c>
      <c r="R36" s="48" t="s">
        <v>816</v>
      </c>
      <c r="S36" s="48" t="s">
        <v>2</v>
      </c>
      <c r="T36" s="48" t="s">
        <v>255</v>
      </c>
      <c r="U36" s="51"/>
      <c r="V36" s="48" t="s">
        <v>1566</v>
      </c>
      <c r="W36" s="48">
        <v>981020000677951</v>
      </c>
      <c r="X36" s="48" t="s">
        <v>359</v>
      </c>
      <c r="Y36" s="52" t="s">
        <v>359</v>
      </c>
      <c r="Z36" s="48" t="s">
        <v>817</v>
      </c>
      <c r="AA36" s="48" t="s">
        <v>818</v>
      </c>
      <c r="AB36" s="48" t="s">
        <v>1567</v>
      </c>
      <c r="AC36" s="48" t="s">
        <v>1567</v>
      </c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8" t="s">
        <v>819</v>
      </c>
      <c r="AO36" s="48" t="s">
        <v>246</v>
      </c>
      <c r="AP36" s="48" t="s">
        <v>246</v>
      </c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</row>
    <row r="37" spans="1:63" ht="23.25" customHeight="1">
      <c r="A37" s="31">
        <v>66</v>
      </c>
      <c r="B37" s="205">
        <v>37</v>
      </c>
      <c r="C37" s="64">
        <v>1</v>
      </c>
      <c r="D37" s="64" t="s">
        <v>42</v>
      </c>
      <c r="E37" s="64" t="s">
        <v>232</v>
      </c>
      <c r="F37" s="64" t="s">
        <v>36</v>
      </c>
      <c r="G37" s="64" t="s">
        <v>585</v>
      </c>
      <c r="H37" s="90" t="s">
        <v>586</v>
      </c>
      <c r="I37" s="86"/>
      <c r="J37" s="64" t="s">
        <v>587</v>
      </c>
      <c r="K37" s="64">
        <v>453</v>
      </c>
      <c r="L37" s="64" t="s">
        <v>588</v>
      </c>
      <c r="M37" s="64" t="s">
        <v>11</v>
      </c>
      <c r="N37" s="64">
        <v>28002</v>
      </c>
      <c r="O37" s="64" t="s">
        <v>589</v>
      </c>
      <c r="P37" s="86"/>
      <c r="Q37" s="64" t="s">
        <v>590</v>
      </c>
      <c r="R37" s="64" t="s">
        <v>591</v>
      </c>
      <c r="S37" s="64" t="s">
        <v>2</v>
      </c>
      <c r="T37" s="64" t="s">
        <v>24</v>
      </c>
      <c r="U37" s="86"/>
      <c r="V37" s="64" t="s">
        <v>1568</v>
      </c>
      <c r="W37" s="64">
        <v>981020000774736</v>
      </c>
      <c r="X37" s="64" t="s">
        <v>359</v>
      </c>
      <c r="Y37" s="65" t="s">
        <v>359</v>
      </c>
      <c r="Z37" s="64" t="s">
        <v>592</v>
      </c>
      <c r="AA37" s="64" t="s">
        <v>593</v>
      </c>
      <c r="AB37" s="64" t="s">
        <v>1456</v>
      </c>
      <c r="AC37" s="64" t="s">
        <v>1457</v>
      </c>
      <c r="AD37" s="86"/>
      <c r="AE37" s="86"/>
      <c r="AF37" s="87" t="str">
        <f>HYPERLINK("https://drive.google.com/open?id=165LG_Wvyw3Ut1_u4Gt4H10qPHs93KuKk","Potvrzeni klubnovka.pdf")</f>
        <v>Potvrzeni klubnovka.pdf</v>
      </c>
      <c r="AG37" s="86"/>
      <c r="AH37" s="86"/>
      <c r="AI37" s="87" t="str">
        <f>HYPERLINK("https://drive.google.com/open?id=1XUCoa-A7rT67-cPIon0Z-94Y70oCitRe","Cipra.pdf")</f>
        <v>Cipra.pdf</v>
      </c>
      <c r="AJ37" s="87" t="str">
        <f>HYPERLINK("https://drive.google.com/open?id=1k-paF0e9N4LknRPoHzyeNfGw6Z81TX1a","platba ČKNO.pdf")</f>
        <v>platba ČKNO.pdf</v>
      </c>
      <c r="AK37" s="86"/>
      <c r="AL37" s="64" t="s">
        <v>4</v>
      </c>
      <c r="AM37" s="86"/>
      <c r="AN37" s="64" t="s">
        <v>594</v>
      </c>
      <c r="AO37" s="64" t="s">
        <v>33</v>
      </c>
      <c r="AP37" s="64" t="s">
        <v>25</v>
      </c>
      <c r="AQ37" s="86"/>
      <c r="AR37" s="86"/>
      <c r="AS37" s="86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64"/>
      <c r="BH37" s="89"/>
      <c r="BI37" s="89"/>
      <c r="BJ37" s="89"/>
      <c r="BK37" s="89"/>
    </row>
    <row r="38" spans="1:63" ht="23.25" customHeight="1">
      <c r="A38" s="62">
        <v>14</v>
      </c>
      <c r="B38" s="205">
        <v>38</v>
      </c>
      <c r="C38" s="64">
        <v>1</v>
      </c>
      <c r="D38" s="64" t="s">
        <v>170</v>
      </c>
      <c r="E38" s="64"/>
      <c r="F38" s="64" t="s">
        <v>159</v>
      </c>
      <c r="G38" s="64" t="s">
        <v>160</v>
      </c>
      <c r="H38" s="64" t="s">
        <v>161</v>
      </c>
      <c r="I38" s="64"/>
      <c r="J38" s="64" t="s">
        <v>162</v>
      </c>
      <c r="K38" s="64">
        <v>128</v>
      </c>
      <c r="L38" s="64" t="s">
        <v>162</v>
      </c>
      <c r="M38" s="64" t="s">
        <v>17</v>
      </c>
      <c r="N38" s="64">
        <v>74730</v>
      </c>
      <c r="O38" s="64" t="s">
        <v>163</v>
      </c>
      <c r="P38" s="64"/>
      <c r="Q38" s="64" t="s">
        <v>175</v>
      </c>
      <c r="R38" s="64" t="s">
        <v>165</v>
      </c>
      <c r="S38" s="64" t="s">
        <v>2</v>
      </c>
      <c r="T38" s="64" t="s">
        <v>152</v>
      </c>
      <c r="U38" s="64"/>
      <c r="V38" s="64" t="s">
        <v>1534</v>
      </c>
      <c r="W38" s="64" t="s">
        <v>176</v>
      </c>
      <c r="X38" s="64" t="s">
        <v>359</v>
      </c>
      <c r="Y38" s="65" t="s">
        <v>359</v>
      </c>
      <c r="Z38" s="64" t="s">
        <v>173</v>
      </c>
      <c r="AA38" s="64" t="s">
        <v>174</v>
      </c>
      <c r="AB38" s="64" t="s">
        <v>1535</v>
      </c>
      <c r="AC38" s="64" t="s">
        <v>1535</v>
      </c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</row>
    <row r="39" spans="1:63" ht="23.25" customHeight="1">
      <c r="A39" s="69">
        <v>56</v>
      </c>
      <c r="B39" s="205">
        <v>39</v>
      </c>
      <c r="C39" s="143">
        <v>1</v>
      </c>
      <c r="D39" s="143" t="s">
        <v>42</v>
      </c>
      <c r="E39" s="143" t="s">
        <v>232</v>
      </c>
      <c r="F39" s="143" t="s">
        <v>35</v>
      </c>
      <c r="G39" s="143" t="s">
        <v>477</v>
      </c>
      <c r="H39" s="144" t="s">
        <v>478</v>
      </c>
      <c r="I39" s="145"/>
      <c r="J39" s="143" t="s">
        <v>493</v>
      </c>
      <c r="K39" s="143">
        <v>19</v>
      </c>
      <c r="L39" s="143" t="s">
        <v>480</v>
      </c>
      <c r="M39" s="143" t="s">
        <v>1</v>
      </c>
      <c r="N39" s="143" t="s">
        <v>481</v>
      </c>
      <c r="O39" s="143" t="s">
        <v>482</v>
      </c>
      <c r="P39" s="145"/>
      <c r="Q39" s="143" t="s">
        <v>499</v>
      </c>
      <c r="R39" s="143" t="s">
        <v>484</v>
      </c>
      <c r="S39" s="143" t="s">
        <v>2</v>
      </c>
      <c r="T39" s="143" t="s">
        <v>24</v>
      </c>
      <c r="U39" s="145"/>
      <c r="V39" s="143" t="s">
        <v>1532</v>
      </c>
      <c r="W39" s="143">
        <v>203164000056046</v>
      </c>
      <c r="X39" s="143" t="s">
        <v>121</v>
      </c>
      <c r="Y39" s="146" t="s">
        <v>122</v>
      </c>
      <c r="Z39" s="143" t="s">
        <v>496</v>
      </c>
      <c r="AA39" s="143" t="s">
        <v>497</v>
      </c>
      <c r="AB39" s="143" t="s">
        <v>1533</v>
      </c>
      <c r="AC39" s="143" t="s">
        <v>1533</v>
      </c>
      <c r="AD39" s="145"/>
      <c r="AE39" s="145"/>
      <c r="AF39" s="147" t="str">
        <f>HYPERLINK("https://drive.google.com/open?id=17lOoKKsYyeTylh-j01b6mrdBSFDtg1wM","platba Prokopová.jpeg")</f>
        <v>platba Prokopová.jpeg</v>
      </c>
      <c r="AG39" s="145"/>
      <c r="AH39" s="145"/>
      <c r="AI39" s="147" t="str">
        <f>HYPERLINK("https://drive.google.com/open?id=1bgv8oh1S8wbYxTGSPlA1xQOcVhpCROCR","Codeta pp.jpeg")</f>
        <v>Codeta pp.jpeg</v>
      </c>
      <c r="AJ39" s="145"/>
      <c r="AK39" s="145"/>
      <c r="AL39" s="143" t="s">
        <v>4</v>
      </c>
      <c r="AM39" s="145"/>
      <c r="AN39" s="143" t="s">
        <v>500</v>
      </c>
      <c r="AO39" s="143" t="s">
        <v>25</v>
      </c>
      <c r="AP39" s="143" t="s">
        <v>25</v>
      </c>
      <c r="AQ39" s="145"/>
      <c r="AR39" s="145"/>
      <c r="AS39" s="145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3"/>
      <c r="BH39" s="149"/>
      <c r="BI39" s="149"/>
      <c r="BJ39" s="149"/>
      <c r="BK39" s="149"/>
    </row>
    <row r="40" spans="1:63" ht="23.25" customHeight="1">
      <c r="A40" s="42">
        <v>152</v>
      </c>
      <c r="B40" s="205">
        <v>40</v>
      </c>
      <c r="C40" s="44">
        <v>1</v>
      </c>
      <c r="D40" s="44" t="s">
        <v>170</v>
      </c>
      <c r="E40" s="44" t="s">
        <v>232</v>
      </c>
      <c r="F40" s="44" t="s">
        <v>1166</v>
      </c>
      <c r="G40" s="44" t="s">
        <v>1167</v>
      </c>
      <c r="H40" s="44">
        <v>702037723</v>
      </c>
      <c r="I40" s="45"/>
      <c r="J40" s="44" t="s">
        <v>1168</v>
      </c>
      <c r="K40" s="44">
        <v>1126</v>
      </c>
      <c r="L40" s="44" t="s">
        <v>1169</v>
      </c>
      <c r="M40" s="44" t="s">
        <v>1170</v>
      </c>
      <c r="N40" s="44">
        <v>34201</v>
      </c>
      <c r="O40" s="44" t="s">
        <v>1171</v>
      </c>
      <c r="P40" s="45"/>
      <c r="Q40" s="44" t="s">
        <v>1172</v>
      </c>
      <c r="R40" s="44" t="s">
        <v>211</v>
      </c>
      <c r="S40" s="44" t="s">
        <v>2</v>
      </c>
      <c r="T40" s="44" t="s">
        <v>255</v>
      </c>
      <c r="U40" s="45"/>
      <c r="V40" s="44" t="s">
        <v>1569</v>
      </c>
      <c r="W40" s="44">
        <v>953010004325857</v>
      </c>
      <c r="X40" s="44" t="s">
        <v>359</v>
      </c>
      <c r="Y40" s="46" t="s">
        <v>359</v>
      </c>
      <c r="Z40" s="44" t="s">
        <v>214</v>
      </c>
      <c r="AA40" s="44" t="s">
        <v>762</v>
      </c>
      <c r="AB40" s="44" t="s">
        <v>1173</v>
      </c>
      <c r="AC40" s="44" t="s">
        <v>1174</v>
      </c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4" t="s">
        <v>1175</v>
      </c>
      <c r="AO40" s="44" t="s">
        <v>246</v>
      </c>
      <c r="AP40" s="44" t="s">
        <v>246</v>
      </c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</row>
    <row r="41" spans="1:63" ht="23.25" customHeight="1">
      <c r="A41" s="42">
        <v>111</v>
      </c>
      <c r="B41" s="205">
        <v>41</v>
      </c>
      <c r="C41" s="44">
        <v>1</v>
      </c>
      <c r="D41" s="44" t="s">
        <v>170</v>
      </c>
      <c r="E41" s="44" t="s">
        <v>232</v>
      </c>
      <c r="F41" s="44" t="s">
        <v>855</v>
      </c>
      <c r="G41" s="44" t="s">
        <v>856</v>
      </c>
      <c r="H41" s="44">
        <v>774657297</v>
      </c>
      <c r="I41" s="45"/>
      <c r="J41" s="44" t="s">
        <v>857</v>
      </c>
      <c r="K41" s="44">
        <v>1018</v>
      </c>
      <c r="L41" s="44" t="s">
        <v>858</v>
      </c>
      <c r="M41" s="44" t="s">
        <v>1</v>
      </c>
      <c r="N41" s="44">
        <v>59231</v>
      </c>
      <c r="O41" s="44" t="s">
        <v>859</v>
      </c>
      <c r="P41" s="45"/>
      <c r="Q41" s="44" t="s">
        <v>866</v>
      </c>
      <c r="R41" s="44" t="s">
        <v>861</v>
      </c>
      <c r="S41" s="44" t="s">
        <v>2</v>
      </c>
      <c r="T41" s="44" t="s">
        <v>255</v>
      </c>
      <c r="U41" s="45"/>
      <c r="V41" s="44" t="s">
        <v>1543</v>
      </c>
      <c r="W41" s="44">
        <v>49968</v>
      </c>
      <c r="X41" s="44" t="s">
        <v>359</v>
      </c>
      <c r="Y41" s="46" t="s">
        <v>359</v>
      </c>
      <c r="Z41" s="44" t="s">
        <v>863</v>
      </c>
      <c r="AA41" s="44" t="s">
        <v>864</v>
      </c>
      <c r="AB41" s="44" t="s">
        <v>1544</v>
      </c>
      <c r="AC41" s="44" t="s">
        <v>1545</v>
      </c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4" t="s">
        <v>867</v>
      </c>
      <c r="AO41" s="44" t="s">
        <v>25</v>
      </c>
      <c r="AP41" s="44" t="s">
        <v>25</v>
      </c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</row>
    <row r="42" spans="1:63" ht="23.25" customHeight="1">
      <c r="A42" s="38">
        <v>27</v>
      </c>
      <c r="B42" s="205">
        <v>42</v>
      </c>
      <c r="C42" s="40">
        <v>1</v>
      </c>
      <c r="D42" s="40" t="s">
        <v>170</v>
      </c>
      <c r="E42" s="40" t="s">
        <v>232</v>
      </c>
      <c r="F42" s="40" t="s">
        <v>13</v>
      </c>
      <c r="G42" s="40" t="s">
        <v>287</v>
      </c>
      <c r="H42" s="40" t="s">
        <v>288</v>
      </c>
      <c r="I42" s="40"/>
      <c r="J42" s="40" t="s">
        <v>289</v>
      </c>
      <c r="K42" s="40">
        <v>836</v>
      </c>
      <c r="L42" s="40" t="s">
        <v>290</v>
      </c>
      <c r="M42" s="40" t="s">
        <v>17</v>
      </c>
      <c r="N42" s="40"/>
      <c r="O42" s="40" t="s">
        <v>291</v>
      </c>
      <c r="P42" s="40"/>
      <c r="Q42" s="40" t="s">
        <v>292</v>
      </c>
      <c r="R42" s="40" t="s">
        <v>293</v>
      </c>
      <c r="S42" s="40" t="s">
        <v>2</v>
      </c>
      <c r="T42" s="40" t="s">
        <v>255</v>
      </c>
      <c r="U42" s="40"/>
      <c r="V42" s="40" t="s">
        <v>1570</v>
      </c>
      <c r="W42" s="40" t="s">
        <v>294</v>
      </c>
      <c r="X42" s="40" t="s">
        <v>359</v>
      </c>
      <c r="Y42" s="41" t="s">
        <v>359</v>
      </c>
      <c r="Z42" s="40" t="s">
        <v>295</v>
      </c>
      <c r="AA42" s="40" t="s">
        <v>296</v>
      </c>
      <c r="AB42" s="40" t="s">
        <v>1565</v>
      </c>
      <c r="AC42" s="40" t="s">
        <v>1565</v>
      </c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</row>
    <row r="43" spans="1:63" ht="23.25" customHeight="1">
      <c r="A43" s="150">
        <v>101</v>
      </c>
      <c r="B43" s="205">
        <v>43</v>
      </c>
      <c r="C43" s="132">
        <v>1</v>
      </c>
      <c r="D43" s="128" t="s">
        <v>170</v>
      </c>
      <c r="E43" s="128" t="s">
        <v>232</v>
      </c>
      <c r="F43" s="128" t="s">
        <v>794</v>
      </c>
      <c r="G43" s="128" t="s">
        <v>795</v>
      </c>
      <c r="H43" s="132">
        <v>602403647</v>
      </c>
      <c r="I43" s="128"/>
      <c r="J43" s="128" t="s">
        <v>796</v>
      </c>
      <c r="K43" s="128" t="s">
        <v>797</v>
      </c>
      <c r="L43" s="128" t="s">
        <v>798</v>
      </c>
      <c r="M43" s="128" t="s">
        <v>1</v>
      </c>
      <c r="N43" s="132">
        <v>18200</v>
      </c>
      <c r="O43" s="128" t="s">
        <v>799</v>
      </c>
      <c r="P43" s="128"/>
      <c r="Q43" s="128" t="s">
        <v>800</v>
      </c>
      <c r="R43" s="128" t="s">
        <v>801</v>
      </c>
      <c r="S43" s="128" t="s">
        <v>2</v>
      </c>
      <c r="T43" s="128" t="s">
        <v>255</v>
      </c>
      <c r="U43" s="128"/>
      <c r="V43" s="131" t="s">
        <v>1571</v>
      </c>
      <c r="W43" s="128" t="s">
        <v>802</v>
      </c>
      <c r="X43" s="131" t="s">
        <v>359</v>
      </c>
      <c r="Y43" s="133" t="s">
        <v>359</v>
      </c>
      <c r="Z43" s="128" t="s">
        <v>803</v>
      </c>
      <c r="AA43" s="128" t="s">
        <v>804</v>
      </c>
      <c r="AB43" s="151" t="s">
        <v>1443</v>
      </c>
      <c r="AC43" s="152" t="s">
        <v>1443</v>
      </c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 t="s">
        <v>805</v>
      </c>
      <c r="AO43" s="128" t="s">
        <v>33</v>
      </c>
      <c r="AP43" s="128" t="s">
        <v>25</v>
      </c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</row>
    <row r="44" spans="1:63" ht="23.25" customHeight="1">
      <c r="A44" s="42">
        <v>130</v>
      </c>
      <c r="B44" s="205">
        <v>44</v>
      </c>
      <c r="C44" s="44">
        <v>1</v>
      </c>
      <c r="D44" s="44" t="s">
        <v>42</v>
      </c>
      <c r="E44" s="44" t="s">
        <v>232</v>
      </c>
      <c r="F44" s="44" t="s">
        <v>1020</v>
      </c>
      <c r="G44" s="44" t="s">
        <v>1021</v>
      </c>
      <c r="H44" s="125" t="s">
        <v>1022</v>
      </c>
      <c r="I44" s="45"/>
      <c r="J44" s="44" t="s">
        <v>1023</v>
      </c>
      <c r="K44" s="44">
        <v>505</v>
      </c>
      <c r="L44" s="44" t="s">
        <v>1023</v>
      </c>
      <c r="M44" s="44" t="s">
        <v>11</v>
      </c>
      <c r="N44" s="44" t="s">
        <v>1024</v>
      </c>
      <c r="O44" s="44" t="s">
        <v>1025</v>
      </c>
      <c r="P44" s="45"/>
      <c r="Q44" s="44" t="s">
        <v>1026</v>
      </c>
      <c r="R44" s="44" t="s">
        <v>1027</v>
      </c>
      <c r="S44" s="44" t="s">
        <v>2</v>
      </c>
      <c r="T44" s="44" t="s">
        <v>24</v>
      </c>
      <c r="U44" s="45"/>
      <c r="V44" s="44" t="s">
        <v>1572</v>
      </c>
      <c r="W44" s="44">
        <v>203003000595108</v>
      </c>
      <c r="X44" s="44" t="s">
        <v>359</v>
      </c>
      <c r="Y44" s="46" t="s">
        <v>359</v>
      </c>
      <c r="Z44" s="44" t="s">
        <v>1028</v>
      </c>
      <c r="AA44" s="44" t="s">
        <v>1029</v>
      </c>
      <c r="AB44" s="44" t="s">
        <v>1573</v>
      </c>
      <c r="AC44" s="44" t="s">
        <v>1574</v>
      </c>
      <c r="AD44" s="45"/>
      <c r="AE44" s="45"/>
      <c r="AF44" s="68" t="str">
        <f>HYPERLINK("https://drive.google.com/open?id=1juImfOXOPzFXdm9lmk6Lgmv7gBAJ-VmO","Potvrzeni_platby.PDF")</f>
        <v>Potvrzeni_platby.PDF</v>
      </c>
      <c r="AG44" s="45"/>
      <c r="AH44" s="45"/>
      <c r="AI44" s="68" t="str">
        <f>HYPERLINK("https://drive.google.com/open?id=1Su0Y_jvMKkUt-2MG0vqWi8aSL4HKz1TV","průkaz původu.jpg")</f>
        <v>průkaz původu.jpg</v>
      </c>
      <c r="AJ44" s="68" t="str">
        <f>HYPERLINK("https://drive.google.com/open?id=1MzRZ-dE2Tz7QPHeRBnieCWcCRZTx9jhc","průkaz původu - titulní strana.jpg")</f>
        <v>průkaz původu - titulní strana.jpg</v>
      </c>
      <c r="AK44" s="45"/>
      <c r="AL44" s="44" t="s">
        <v>4</v>
      </c>
      <c r="AM44" s="45"/>
      <c r="AN44" s="44" t="s">
        <v>1030</v>
      </c>
      <c r="AO44" s="44" t="s">
        <v>271</v>
      </c>
      <c r="AP44" s="44">
        <v>0</v>
      </c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</row>
    <row r="45" spans="1:63" ht="23.25" customHeight="1">
      <c r="A45" s="44">
        <v>171</v>
      </c>
      <c r="B45" s="205">
        <v>45</v>
      </c>
      <c r="C45" s="44">
        <v>1</v>
      </c>
      <c r="D45" s="44" t="s">
        <v>42</v>
      </c>
      <c r="E45" s="44" t="s">
        <v>232</v>
      </c>
      <c r="F45" s="44" t="s">
        <v>507</v>
      </c>
      <c r="G45" s="44" t="s">
        <v>1290</v>
      </c>
      <c r="H45" s="125" t="s">
        <v>1291</v>
      </c>
      <c r="I45" s="45"/>
      <c r="J45" s="44" t="s">
        <v>1292</v>
      </c>
      <c r="K45" s="44">
        <v>464</v>
      </c>
      <c r="L45" s="44" t="s">
        <v>1293</v>
      </c>
      <c r="M45" s="44" t="s">
        <v>11</v>
      </c>
      <c r="N45" s="44">
        <v>46008</v>
      </c>
      <c r="O45" s="44" t="s">
        <v>1294</v>
      </c>
      <c r="P45" s="45"/>
      <c r="Q45" s="44" t="s">
        <v>1295</v>
      </c>
      <c r="R45" s="44" t="s">
        <v>1296</v>
      </c>
      <c r="S45" s="44" t="s">
        <v>2</v>
      </c>
      <c r="T45" s="44" t="s">
        <v>24</v>
      </c>
      <c r="U45" s="45"/>
      <c r="V45" s="44" t="s">
        <v>1575</v>
      </c>
      <c r="W45" s="44">
        <v>35542</v>
      </c>
      <c r="X45" s="44" t="s">
        <v>359</v>
      </c>
      <c r="Y45" s="46" t="s">
        <v>359</v>
      </c>
      <c r="Z45" s="44" t="s">
        <v>1297</v>
      </c>
      <c r="AA45" s="44" t="s">
        <v>910</v>
      </c>
      <c r="AB45" s="44" t="s">
        <v>1576</v>
      </c>
      <c r="AC45" s="44" t="s">
        <v>1577</v>
      </c>
      <c r="AD45" s="45"/>
      <c r="AE45" s="68" t="str">
        <f>HYPERLINK("https://drive.google.com/open?id=15PCZqDrz6bd1x4qrS-Mg590Wwj3ph4bV","201772030_2920957228161572_5879118375407449260_n (1).jpg")</f>
        <v>201772030_2920957228161572_5879118375407449260_n (1).jpg</v>
      </c>
      <c r="AF45" s="68" t="str">
        <f>HYPERLINK("https://drive.google.com/open?id=1482SEPG6zYf2nHNDdgrqeWVsuqMLQHqT","Potvrzení o platbě 0214001877_20210802_00002_210801XIB2293116706.pdf")</f>
        <v>Potvrzení o platbě 0214001877_20210802_00002_210801XIB2293116706.pdf</v>
      </c>
      <c r="AG45" s="68" t="str">
        <f>HYPERLINK("https://drive.google.com/open?id=1dkwk9SWfvd5Amh9-MHbzX-C3_rAO6Y_e","SCAN0011.PDF")</f>
        <v>SCAN0011.PDF</v>
      </c>
      <c r="AH45" s="68" t="str">
        <f>HYPERLINK("https://drive.google.com/open?id=1ky9MjgG4pWFMZNcEjq9wpPYGERyA-mDn","SCAN0012.PDF")</f>
        <v>SCAN0012.PDF</v>
      </c>
      <c r="AI45" s="68" t="str">
        <f>HYPERLINK("https://drive.google.com/open?id=1c0KrYrgs0Dakilz6MVdcBNmxKmfT3Wt6","SCAN0001.PDF")</f>
        <v>SCAN0001.PDF</v>
      </c>
      <c r="AJ45" s="68" t="str">
        <f>HYPERLINK("https://drive.google.com/open?id=14bhr6odKIjSibjOLRnpGSZPKi6ZbrgIz","SCAN0002.PDF")</f>
        <v>SCAN0002.PDF</v>
      </c>
      <c r="AK45" s="68" t="str">
        <f>HYPERLINK("https://drive.google.com/open?id=1TdEVknWexSB1qDugmMJALrXdqs36yTh1","SCAN0003.PDF")</f>
        <v>SCAN0003.PDF</v>
      </c>
      <c r="AL45" s="44" t="s">
        <v>4</v>
      </c>
      <c r="AM45" s="45"/>
      <c r="AN45" s="44" t="s">
        <v>1298</v>
      </c>
      <c r="AO45" s="44" t="s">
        <v>1299</v>
      </c>
      <c r="AP45" s="44" t="s">
        <v>25</v>
      </c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</row>
    <row r="46" spans="1:63" ht="36.75" customHeight="1">
      <c r="A46" s="38">
        <v>21</v>
      </c>
      <c r="B46" s="205">
        <v>46</v>
      </c>
      <c r="C46" s="40">
        <v>1</v>
      </c>
      <c r="D46" s="40" t="s">
        <v>42</v>
      </c>
      <c r="E46" s="40" t="s">
        <v>232</v>
      </c>
      <c r="F46" s="40" t="s">
        <v>100</v>
      </c>
      <c r="G46" s="40" t="s">
        <v>251</v>
      </c>
      <c r="H46" s="40" t="s">
        <v>252</v>
      </c>
      <c r="I46" s="40"/>
      <c r="J46" s="40" t="s">
        <v>253</v>
      </c>
      <c r="K46" s="40">
        <v>35</v>
      </c>
      <c r="L46" s="40" t="s">
        <v>15</v>
      </c>
      <c r="M46" s="40" t="s">
        <v>17</v>
      </c>
      <c r="N46" s="40"/>
      <c r="O46" s="40"/>
      <c r="P46" s="40"/>
      <c r="Q46" s="40" t="s">
        <v>254</v>
      </c>
      <c r="R46" s="153" t="s">
        <v>266</v>
      </c>
      <c r="S46" s="40" t="s">
        <v>2</v>
      </c>
      <c r="T46" s="40" t="s">
        <v>255</v>
      </c>
      <c r="U46" s="40"/>
      <c r="V46" s="40" t="s">
        <v>1578</v>
      </c>
      <c r="W46" s="40">
        <v>963007200011787</v>
      </c>
      <c r="X46" s="40" t="s">
        <v>127</v>
      </c>
      <c r="Y46" s="41" t="s">
        <v>359</v>
      </c>
      <c r="Z46" s="40" t="s">
        <v>256</v>
      </c>
      <c r="AA46" s="40" t="s">
        <v>257</v>
      </c>
      <c r="AB46" s="40" t="s">
        <v>1446</v>
      </c>
      <c r="AC46" s="40" t="s">
        <v>1412</v>
      </c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 t="s">
        <v>258</v>
      </c>
      <c r="AO46" s="40" t="s">
        <v>33</v>
      </c>
      <c r="AP46" s="40" t="s">
        <v>25</v>
      </c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</row>
    <row r="47" spans="1:63" ht="23.25" customHeight="1">
      <c r="A47" s="31">
        <v>75</v>
      </c>
      <c r="B47" s="205">
        <v>47</v>
      </c>
      <c r="C47" s="70">
        <v>1</v>
      </c>
      <c r="D47" s="70" t="s">
        <v>170</v>
      </c>
      <c r="E47" s="70" t="s">
        <v>232</v>
      </c>
      <c r="F47" s="70" t="s">
        <v>10</v>
      </c>
      <c r="G47" s="70" t="s">
        <v>657</v>
      </c>
      <c r="H47" s="70">
        <v>603505236</v>
      </c>
      <c r="I47" s="154"/>
      <c r="J47" s="70" t="s">
        <v>658</v>
      </c>
      <c r="K47" s="70">
        <v>670</v>
      </c>
      <c r="L47" s="70" t="s">
        <v>658</v>
      </c>
      <c r="M47" s="70" t="s">
        <v>1</v>
      </c>
      <c r="N47" s="70">
        <v>73943</v>
      </c>
      <c r="O47" s="70" t="s">
        <v>659</v>
      </c>
      <c r="P47" s="154"/>
      <c r="Q47" s="70" t="s">
        <v>660</v>
      </c>
      <c r="R47" s="70" t="s">
        <v>661</v>
      </c>
      <c r="S47" s="70" t="s">
        <v>2</v>
      </c>
      <c r="T47" s="70" t="s">
        <v>255</v>
      </c>
      <c r="U47" s="154"/>
      <c r="V47" s="70" t="s">
        <v>1571</v>
      </c>
      <c r="W47" s="70">
        <v>941000024666424</v>
      </c>
      <c r="X47" s="70" t="s">
        <v>359</v>
      </c>
      <c r="Y47" s="155" t="s">
        <v>359</v>
      </c>
      <c r="Z47" s="70" t="s">
        <v>662</v>
      </c>
      <c r="AA47" s="70" t="s">
        <v>257</v>
      </c>
      <c r="AB47" s="70" t="s">
        <v>759</v>
      </c>
      <c r="AC47" s="70" t="s">
        <v>759</v>
      </c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70" t="s">
        <v>663</v>
      </c>
      <c r="AO47" s="70" t="s">
        <v>33</v>
      </c>
      <c r="AP47" s="70" t="s">
        <v>25</v>
      </c>
      <c r="AQ47" s="154"/>
      <c r="AR47" s="154"/>
      <c r="AS47" s="154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70"/>
      <c r="BH47" s="157"/>
      <c r="BI47" s="157"/>
      <c r="BJ47" s="157"/>
      <c r="BK47" s="157"/>
    </row>
    <row r="48" spans="1:63" ht="23.25" customHeight="1">
      <c r="A48" s="31">
        <v>81</v>
      </c>
      <c r="B48" s="205">
        <v>48</v>
      </c>
      <c r="C48" s="33">
        <v>1</v>
      </c>
      <c r="D48" s="33" t="s">
        <v>170</v>
      </c>
      <c r="E48" s="33" t="s">
        <v>232</v>
      </c>
      <c r="F48" s="33" t="s">
        <v>676</v>
      </c>
      <c r="G48" s="33" t="s">
        <v>677</v>
      </c>
      <c r="H48" s="33">
        <v>777014563</v>
      </c>
      <c r="I48" s="36"/>
      <c r="J48" s="33" t="s">
        <v>678</v>
      </c>
      <c r="K48" s="33">
        <v>413</v>
      </c>
      <c r="L48" s="33" t="s">
        <v>679</v>
      </c>
      <c r="M48" s="33" t="s">
        <v>1</v>
      </c>
      <c r="N48" s="33">
        <v>46804</v>
      </c>
      <c r="O48" s="33" t="s">
        <v>681</v>
      </c>
      <c r="P48" s="36"/>
      <c r="Q48" s="33" t="s">
        <v>686</v>
      </c>
      <c r="R48" s="33" t="s">
        <v>687</v>
      </c>
      <c r="S48" s="33" t="s">
        <v>2</v>
      </c>
      <c r="T48" s="33" t="s">
        <v>255</v>
      </c>
      <c r="U48" s="36"/>
      <c r="V48" s="33" t="s">
        <v>1552</v>
      </c>
      <c r="W48" s="33">
        <v>981189900110966</v>
      </c>
      <c r="X48" s="33" t="s">
        <v>359</v>
      </c>
      <c r="Y48" s="35" t="s">
        <v>359</v>
      </c>
      <c r="Z48" s="33" t="s">
        <v>688</v>
      </c>
      <c r="AA48" s="33" t="s">
        <v>52</v>
      </c>
      <c r="AB48" s="33" t="s">
        <v>1554</v>
      </c>
      <c r="AC48" s="33" t="s">
        <v>1423</v>
      </c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3" t="s">
        <v>689</v>
      </c>
      <c r="AO48" s="33" t="s">
        <v>246</v>
      </c>
      <c r="AP48" s="33" t="s">
        <v>246</v>
      </c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3"/>
      <c r="BH48" s="37"/>
      <c r="BI48" s="37"/>
      <c r="BJ48" s="37"/>
      <c r="BK48" s="37"/>
    </row>
    <row r="49" spans="1:63" ht="23.25" customHeight="1">
      <c r="A49" s="31">
        <v>106</v>
      </c>
      <c r="B49" s="205">
        <v>49</v>
      </c>
      <c r="C49" s="48">
        <v>1</v>
      </c>
      <c r="D49" s="48" t="s">
        <v>170</v>
      </c>
      <c r="E49" s="48" t="s">
        <v>232</v>
      </c>
      <c r="F49" s="48" t="s">
        <v>820</v>
      </c>
      <c r="G49" s="48" t="s">
        <v>821</v>
      </c>
      <c r="H49" s="48">
        <v>775115002</v>
      </c>
      <c r="I49" s="51"/>
      <c r="J49" s="48" t="s">
        <v>822</v>
      </c>
      <c r="K49" s="48">
        <v>271</v>
      </c>
      <c r="L49" s="48" t="s">
        <v>823</v>
      </c>
      <c r="M49" s="48" t="s">
        <v>1</v>
      </c>
      <c r="N49" s="48">
        <v>58301</v>
      </c>
      <c r="O49" s="48" t="s">
        <v>824</v>
      </c>
      <c r="P49" s="51"/>
      <c r="Q49" s="48" t="s">
        <v>832</v>
      </c>
      <c r="R49" s="48" t="s">
        <v>200</v>
      </c>
      <c r="S49" s="48" t="s">
        <v>2</v>
      </c>
      <c r="T49" s="48" t="s">
        <v>255</v>
      </c>
      <c r="U49" s="51"/>
      <c r="V49" s="48" t="s">
        <v>1579</v>
      </c>
      <c r="W49" s="48" t="s">
        <v>833</v>
      </c>
      <c r="X49" s="48" t="s">
        <v>127</v>
      </c>
      <c r="Y49" s="52" t="s">
        <v>359</v>
      </c>
      <c r="Z49" s="48" t="s">
        <v>316</v>
      </c>
      <c r="AA49" s="48" t="s">
        <v>317</v>
      </c>
      <c r="AB49" s="48" t="s">
        <v>1495</v>
      </c>
      <c r="AC49" s="48" t="s">
        <v>1495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48" t="s">
        <v>834</v>
      </c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</row>
    <row r="50" spans="1:63" ht="23.25" customHeight="1">
      <c r="A50" s="62">
        <v>30</v>
      </c>
      <c r="B50" s="205">
        <v>50</v>
      </c>
      <c r="C50" s="64">
        <v>1</v>
      </c>
      <c r="D50" s="64" t="s">
        <v>170</v>
      </c>
      <c r="E50" s="64" t="s">
        <v>232</v>
      </c>
      <c r="F50" s="64" t="s">
        <v>31</v>
      </c>
      <c r="G50" s="64" t="s">
        <v>309</v>
      </c>
      <c r="H50" s="64">
        <v>733379257</v>
      </c>
      <c r="I50" s="64"/>
      <c r="J50" s="64" t="s">
        <v>310</v>
      </c>
      <c r="K50" s="64">
        <v>1437</v>
      </c>
      <c r="L50" s="64" t="s">
        <v>311</v>
      </c>
      <c r="M50" s="64" t="s">
        <v>17</v>
      </c>
      <c r="N50" s="64"/>
      <c r="O50" s="64" t="s">
        <v>312</v>
      </c>
      <c r="P50" s="64"/>
      <c r="Q50" s="64" t="s">
        <v>313</v>
      </c>
      <c r="R50" s="64" t="s">
        <v>200</v>
      </c>
      <c r="S50" s="64" t="s">
        <v>2</v>
      </c>
      <c r="T50" s="64" t="s">
        <v>255</v>
      </c>
      <c r="U50" s="64"/>
      <c r="V50" s="64" t="s">
        <v>1579</v>
      </c>
      <c r="W50" s="64" t="s">
        <v>314</v>
      </c>
      <c r="X50" s="64" t="s">
        <v>315</v>
      </c>
      <c r="Y50" s="65" t="s">
        <v>359</v>
      </c>
      <c r="Z50" s="64" t="s">
        <v>316</v>
      </c>
      <c r="AA50" s="64" t="s">
        <v>317</v>
      </c>
      <c r="AB50" s="64" t="s">
        <v>1495</v>
      </c>
      <c r="AC50" s="64" t="s">
        <v>1580</v>
      </c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</row>
    <row r="51" spans="1:63" ht="25.5">
      <c r="A51" s="47">
        <v>31</v>
      </c>
      <c r="B51" s="205">
        <v>51</v>
      </c>
      <c r="C51" s="158">
        <v>1</v>
      </c>
      <c r="D51" s="158" t="s">
        <v>170</v>
      </c>
      <c r="E51" s="158" t="s">
        <v>232</v>
      </c>
      <c r="F51" s="158" t="s">
        <v>31</v>
      </c>
      <c r="G51" s="158" t="s">
        <v>309</v>
      </c>
      <c r="H51" s="158">
        <v>733379257</v>
      </c>
      <c r="I51" s="159"/>
      <c r="J51" s="158" t="s">
        <v>310</v>
      </c>
      <c r="K51" s="158">
        <v>1437</v>
      </c>
      <c r="L51" s="158" t="s">
        <v>311</v>
      </c>
      <c r="M51" s="158" t="s">
        <v>17</v>
      </c>
      <c r="N51" s="159"/>
      <c r="O51" s="158" t="s">
        <v>312</v>
      </c>
      <c r="P51" s="159"/>
      <c r="Q51" s="158" t="s">
        <v>319</v>
      </c>
      <c r="R51" s="158" t="s">
        <v>200</v>
      </c>
      <c r="S51" s="158" t="s">
        <v>2</v>
      </c>
      <c r="T51" s="158" t="s">
        <v>255</v>
      </c>
      <c r="U51" s="159"/>
      <c r="V51" s="158" t="s">
        <v>1579</v>
      </c>
      <c r="W51" s="158" t="s">
        <v>320</v>
      </c>
      <c r="X51" s="158" t="s">
        <v>315</v>
      </c>
      <c r="Y51" s="160" t="s">
        <v>359</v>
      </c>
      <c r="Z51" s="158" t="s">
        <v>316</v>
      </c>
      <c r="AA51" s="158" t="s">
        <v>317</v>
      </c>
      <c r="AB51" s="161" t="s">
        <v>1495</v>
      </c>
      <c r="AC51" s="162" t="s">
        <v>1580</v>
      </c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63"/>
      <c r="AU51" s="163"/>
      <c r="AV51" s="163"/>
      <c r="AW51" s="163"/>
      <c r="AX51" s="163"/>
      <c r="AY51" s="163"/>
      <c r="AZ51" s="163"/>
      <c r="BA51" s="163"/>
      <c r="BB51" s="158"/>
      <c r="BC51" s="158"/>
      <c r="BD51" s="163"/>
      <c r="BE51" s="163"/>
      <c r="BF51" s="163"/>
      <c r="BG51" s="158"/>
      <c r="BH51" s="158"/>
      <c r="BI51" s="158"/>
      <c r="BJ51" s="158"/>
      <c r="BK51" s="158"/>
    </row>
    <row r="52" spans="1:63" ht="23.25" customHeight="1">
      <c r="A52" s="31">
        <v>161</v>
      </c>
      <c r="B52" s="205">
        <v>52</v>
      </c>
      <c r="C52" s="48">
        <v>1</v>
      </c>
      <c r="D52" s="48" t="s">
        <v>170</v>
      </c>
      <c r="E52" s="48" t="s">
        <v>232</v>
      </c>
      <c r="F52" s="48" t="s">
        <v>67</v>
      </c>
      <c r="G52" s="48" t="s">
        <v>1213</v>
      </c>
      <c r="H52" s="48">
        <v>605589369</v>
      </c>
      <c r="I52" s="51"/>
      <c r="J52" s="48" t="s">
        <v>1214</v>
      </c>
      <c r="K52" s="48">
        <v>2826</v>
      </c>
      <c r="L52" s="48" t="s">
        <v>1215</v>
      </c>
      <c r="M52" s="51"/>
      <c r="N52" s="48">
        <v>39005</v>
      </c>
      <c r="O52" s="48" t="s">
        <v>1216</v>
      </c>
      <c r="P52" s="51"/>
      <c r="Q52" s="48" t="s">
        <v>1235</v>
      </c>
      <c r="R52" s="48" t="s">
        <v>1236</v>
      </c>
      <c r="S52" s="48" t="s">
        <v>2</v>
      </c>
      <c r="T52" s="48" t="s">
        <v>255</v>
      </c>
      <c r="U52" s="51"/>
      <c r="V52" s="48" t="s">
        <v>1581</v>
      </c>
      <c r="W52" s="48">
        <v>981189900114793</v>
      </c>
      <c r="X52" s="48" t="s">
        <v>359</v>
      </c>
      <c r="Y52" s="52" t="s">
        <v>359</v>
      </c>
      <c r="Z52" s="48" t="s">
        <v>1237</v>
      </c>
      <c r="AA52" s="48" t="s">
        <v>938</v>
      </c>
      <c r="AB52" s="48" t="s">
        <v>1414</v>
      </c>
      <c r="AC52" s="48" t="s">
        <v>1223</v>
      </c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48" t="s">
        <v>1238</v>
      </c>
      <c r="AO52" s="48" t="s">
        <v>246</v>
      </c>
      <c r="AP52" s="48" t="s">
        <v>246</v>
      </c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</row>
    <row r="53" spans="1:63" ht="26.25" customHeight="1">
      <c r="A53" s="31">
        <v>71</v>
      </c>
      <c r="B53" s="205">
        <v>53</v>
      </c>
      <c r="C53" s="64">
        <v>1</v>
      </c>
      <c r="D53" s="64" t="s">
        <v>95</v>
      </c>
      <c r="E53" s="64" t="s">
        <v>232</v>
      </c>
      <c r="F53" s="64" t="s">
        <v>13</v>
      </c>
      <c r="G53" s="64" t="s">
        <v>611</v>
      </c>
      <c r="H53" s="65" t="s">
        <v>622</v>
      </c>
      <c r="I53" s="86"/>
      <c r="J53" s="64" t="s">
        <v>623</v>
      </c>
      <c r="K53" s="64">
        <v>5215</v>
      </c>
      <c r="L53" s="64" t="s">
        <v>614</v>
      </c>
      <c r="M53" s="64" t="s">
        <v>11</v>
      </c>
      <c r="N53" s="64">
        <v>43004</v>
      </c>
      <c r="O53" s="123" t="s">
        <v>615</v>
      </c>
      <c r="P53" s="86"/>
      <c r="Q53" s="64" t="s">
        <v>624</v>
      </c>
      <c r="R53" s="64" t="s">
        <v>617</v>
      </c>
      <c r="S53" s="64" t="s">
        <v>2</v>
      </c>
      <c r="T53" s="64" t="s">
        <v>24</v>
      </c>
      <c r="U53" s="64"/>
      <c r="V53" s="64" t="s">
        <v>1514</v>
      </c>
      <c r="W53" s="64">
        <v>945000002231218</v>
      </c>
      <c r="X53" s="64" t="s">
        <v>359</v>
      </c>
      <c r="Y53" s="65" t="s">
        <v>359</v>
      </c>
      <c r="Z53" s="64" t="s">
        <v>625</v>
      </c>
      <c r="AA53" s="64" t="s">
        <v>626</v>
      </c>
      <c r="AB53" s="64" t="s">
        <v>1475</v>
      </c>
      <c r="AC53" s="64" t="s">
        <v>620</v>
      </c>
      <c r="AD53" s="86"/>
      <c r="AE53" s="86"/>
      <c r="AF53" s="87" t="str">
        <f>HYPERLINK("https://drive.google.com/open?id=1V_Y6sLfFRZg-wWqAweP0HADBI816_LkO","KB_screenshot_25072021_21303446.png")</f>
        <v>KB_screenshot_25072021_21303446.png</v>
      </c>
      <c r="AG53" s="87" t="str">
        <f>HYPERLINK("https://drive.google.com/open?id=1mzBAnU6Jh7cRAgGVJs7JX_-vze26qkyy","16272418540578449146145793887829.jpg")</f>
        <v>16272418540578449146145793887829.jpg</v>
      </c>
      <c r="AH53" s="86"/>
      <c r="AI53" s="87" t="str">
        <f>HYPERLINK("https://drive.google.com/open?id=1QLW9muiBHrjyHjSI3ZN60_LsDJqB9i0P","20210725_210859.jpg")</f>
        <v>20210725_210859.jpg</v>
      </c>
      <c r="AJ53" s="87" t="str">
        <f>HYPERLINK("https://drive.google.com/open?id=1gLHOCsGrbJpciI8T6dC0O3YcWIfHocGc","20210725_210843.jpg")</f>
        <v>20210725_210843.jpg</v>
      </c>
      <c r="AK53" s="86"/>
      <c r="AL53" s="64" t="s">
        <v>4</v>
      </c>
      <c r="AM53" s="86"/>
      <c r="AN53" s="64" t="s">
        <v>627</v>
      </c>
      <c r="AO53" s="64" t="s">
        <v>359</v>
      </c>
      <c r="AP53" s="64" t="s">
        <v>359</v>
      </c>
      <c r="AQ53" s="86"/>
      <c r="AR53" s="86"/>
      <c r="AS53" s="86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64"/>
      <c r="BH53" s="89"/>
      <c r="BI53" s="89"/>
      <c r="BJ53" s="89"/>
      <c r="BK53" s="89"/>
    </row>
    <row r="54" spans="1:63" ht="23.25" customHeight="1">
      <c r="A54" s="42">
        <v>95</v>
      </c>
      <c r="B54" s="205">
        <v>54</v>
      </c>
      <c r="C54" s="44">
        <v>1</v>
      </c>
      <c r="D54" s="44" t="s">
        <v>664</v>
      </c>
      <c r="E54" s="44" t="s">
        <v>232</v>
      </c>
      <c r="F54" s="44" t="s">
        <v>769</v>
      </c>
      <c r="G54" s="44" t="s">
        <v>770</v>
      </c>
      <c r="H54" s="44">
        <v>601336782</v>
      </c>
      <c r="I54" s="45"/>
      <c r="J54" s="44" t="s">
        <v>771</v>
      </c>
      <c r="K54" s="44">
        <v>18</v>
      </c>
      <c r="L54" s="44" t="s">
        <v>771</v>
      </c>
      <c r="M54" s="44" t="s">
        <v>1</v>
      </c>
      <c r="N54" s="44">
        <v>29404</v>
      </c>
      <c r="O54" s="44" t="s">
        <v>772</v>
      </c>
      <c r="P54" s="45"/>
      <c r="Q54" s="44" t="s">
        <v>773</v>
      </c>
      <c r="R54" s="44" t="s">
        <v>774</v>
      </c>
      <c r="S54" s="44" t="s">
        <v>2</v>
      </c>
      <c r="T54" s="44" t="s">
        <v>255</v>
      </c>
      <c r="U54" s="45"/>
      <c r="V54" s="44" t="s">
        <v>1511</v>
      </c>
      <c r="W54" s="44">
        <v>981020000692352</v>
      </c>
      <c r="X54" s="44" t="s">
        <v>359</v>
      </c>
      <c r="Y54" s="46" t="s">
        <v>359</v>
      </c>
      <c r="Z54" s="44" t="s">
        <v>775</v>
      </c>
      <c r="AA54" s="44" t="s">
        <v>776</v>
      </c>
      <c r="AB54" s="44" t="s">
        <v>1419</v>
      </c>
      <c r="AC54" s="44" t="s">
        <v>1419</v>
      </c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4" t="s">
        <v>777</v>
      </c>
      <c r="AO54" s="44" t="s">
        <v>33</v>
      </c>
      <c r="AP54" s="44" t="s">
        <v>25</v>
      </c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</row>
    <row r="55" spans="1:63" ht="23.25" customHeight="1">
      <c r="A55" s="42">
        <v>138</v>
      </c>
      <c r="B55" s="205">
        <v>55</v>
      </c>
      <c r="C55" s="44">
        <v>1</v>
      </c>
      <c r="D55" s="44" t="s">
        <v>95</v>
      </c>
      <c r="E55" s="44" t="s">
        <v>232</v>
      </c>
      <c r="F55" s="44" t="s">
        <v>55</v>
      </c>
      <c r="G55" s="44" t="s">
        <v>1066</v>
      </c>
      <c r="H55" s="125" t="s">
        <v>1067</v>
      </c>
      <c r="I55" s="45"/>
      <c r="J55" s="44" t="s">
        <v>1068</v>
      </c>
      <c r="K55" s="44">
        <v>19</v>
      </c>
      <c r="L55" s="44" t="s">
        <v>1069</v>
      </c>
      <c r="M55" s="44" t="s">
        <v>1070</v>
      </c>
      <c r="N55" s="44">
        <v>33141</v>
      </c>
      <c r="O55" s="44" t="s">
        <v>1071</v>
      </c>
      <c r="P55" s="45"/>
      <c r="Q55" s="44" t="s">
        <v>1089</v>
      </c>
      <c r="R55" s="44" t="s">
        <v>1073</v>
      </c>
      <c r="S55" s="44" t="s">
        <v>2</v>
      </c>
      <c r="T55" s="44" t="s">
        <v>24</v>
      </c>
      <c r="U55" s="45"/>
      <c r="V55" s="44" t="s">
        <v>1515</v>
      </c>
      <c r="W55" s="44">
        <v>945000002290080</v>
      </c>
      <c r="X55" s="44" t="s">
        <v>359</v>
      </c>
      <c r="Y55" s="46" t="s">
        <v>359</v>
      </c>
      <c r="Z55" s="44" t="s">
        <v>1090</v>
      </c>
      <c r="AA55" s="44" t="s">
        <v>853</v>
      </c>
      <c r="AB55" s="44" t="s">
        <v>1173</v>
      </c>
      <c r="AC55" s="44" t="s">
        <v>1173</v>
      </c>
      <c r="AD55" s="45"/>
      <c r="AE55" s="45"/>
      <c r="AF55" s="68" t="str">
        <f>HYPERLINK("https://drive.google.com/open?id=1zO2Zqjzv1Jdna1tg2e-jIiadO1Zi3hhv","Transakce_2000006828944121.pdf")</f>
        <v>Transakce_2000006828944121.pdf</v>
      </c>
      <c r="AG55" s="45"/>
      <c r="AH55" s="45"/>
      <c r="AI55" s="68" t="str">
        <f>HYPERLINK("https://drive.google.com/open?id=1upu_sD7ifUsXPip8ufTTjNjbvWyOHGj8","Federica.jpg")</f>
        <v>Federica.jpg</v>
      </c>
      <c r="AJ55" s="45"/>
      <c r="AK55" s="45"/>
      <c r="AL55" s="44" t="s">
        <v>4</v>
      </c>
      <c r="AM55" s="45"/>
      <c r="AN55" s="44" t="s">
        <v>1091</v>
      </c>
      <c r="AO55" s="44" t="s">
        <v>359</v>
      </c>
      <c r="AP55" s="44" t="s">
        <v>359</v>
      </c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</row>
    <row r="56" spans="1:63" ht="23.25" customHeight="1">
      <c r="A56" s="126">
        <v>5</v>
      </c>
      <c r="B56" s="205">
        <v>56</v>
      </c>
      <c r="C56" s="127">
        <v>1</v>
      </c>
      <c r="D56" s="128" t="s">
        <v>95</v>
      </c>
      <c r="E56" s="128"/>
      <c r="F56" s="128" t="s">
        <v>83</v>
      </c>
      <c r="G56" s="128" t="s">
        <v>84</v>
      </c>
      <c r="H56" s="129" t="s">
        <v>85</v>
      </c>
      <c r="I56" s="128"/>
      <c r="J56" s="128" t="s">
        <v>86</v>
      </c>
      <c r="K56" s="128" t="s">
        <v>87</v>
      </c>
      <c r="L56" s="128" t="s">
        <v>34</v>
      </c>
      <c r="M56" s="128" t="s">
        <v>1</v>
      </c>
      <c r="N56" s="128" t="s">
        <v>88</v>
      </c>
      <c r="O56" s="130" t="s">
        <v>89</v>
      </c>
      <c r="P56" s="128"/>
      <c r="Q56" s="128" t="s">
        <v>96</v>
      </c>
      <c r="R56" s="128" t="s">
        <v>91</v>
      </c>
      <c r="S56" s="128" t="s">
        <v>2</v>
      </c>
      <c r="T56" s="128" t="s">
        <v>24</v>
      </c>
      <c r="U56" s="128"/>
      <c r="V56" s="131" t="s">
        <v>1516</v>
      </c>
      <c r="W56" s="132">
        <v>941000024570177</v>
      </c>
      <c r="X56" s="131" t="s">
        <v>359</v>
      </c>
      <c r="Y56" s="133" t="s">
        <v>359</v>
      </c>
      <c r="Z56" s="128" t="s">
        <v>97</v>
      </c>
      <c r="AA56" s="128" t="s">
        <v>98</v>
      </c>
      <c r="AB56" s="128" t="s">
        <v>1479</v>
      </c>
      <c r="AC56" s="128" t="s">
        <v>1479</v>
      </c>
      <c r="AD56" s="128"/>
      <c r="AE56" s="128"/>
      <c r="AF56" s="134" t="str">
        <f>HYPERLINK("https://drive.google.com/open?id=1nHc3A7oUFjGGZFBEvlWCzqBXlEOwDx49","Povrzení platby KVV 2021.pdf")</f>
        <v>Povrzení platby KVV 2021.pdf</v>
      </c>
      <c r="AG56" s="128"/>
      <c r="AH56" s="128"/>
      <c r="AI56" s="134" t="str">
        <f>HYPERLINK("https://drive.google.com/open?id=1Kh2rxAkaD-lR1orkXntrfQ-S9ArCrXet","PP Gamora.pdf")</f>
        <v>PP Gamora.pdf</v>
      </c>
      <c r="AJ56" s="128"/>
      <c r="AK56" s="128"/>
      <c r="AL56" s="128" t="s">
        <v>4</v>
      </c>
      <c r="AM56" s="128"/>
      <c r="AN56" s="128" t="s">
        <v>99</v>
      </c>
      <c r="AO56" s="128" t="s">
        <v>25</v>
      </c>
      <c r="AP56" s="128" t="s">
        <v>25</v>
      </c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</row>
    <row r="57" spans="1:63" ht="23.25" customHeight="1">
      <c r="A57" s="42">
        <v>96</v>
      </c>
      <c r="B57" s="205">
        <v>57</v>
      </c>
      <c r="C57" s="44">
        <v>1</v>
      </c>
      <c r="D57" s="44" t="s">
        <v>664</v>
      </c>
      <c r="E57" s="44" t="s">
        <v>232</v>
      </c>
      <c r="F57" s="44" t="s">
        <v>769</v>
      </c>
      <c r="G57" s="44" t="s">
        <v>770</v>
      </c>
      <c r="H57" s="44">
        <v>601336782</v>
      </c>
      <c r="I57" s="45"/>
      <c r="J57" s="44" t="s">
        <v>771</v>
      </c>
      <c r="K57" s="44">
        <v>18</v>
      </c>
      <c r="L57" s="44" t="s">
        <v>771</v>
      </c>
      <c r="M57" s="44" t="s">
        <v>1</v>
      </c>
      <c r="N57" s="44">
        <v>29404</v>
      </c>
      <c r="O57" s="44" t="s">
        <v>772</v>
      </c>
      <c r="P57" s="45"/>
      <c r="Q57" s="44" t="s">
        <v>778</v>
      </c>
      <c r="R57" s="44" t="s">
        <v>774</v>
      </c>
      <c r="S57" s="44" t="s">
        <v>2</v>
      </c>
      <c r="T57" s="44" t="s">
        <v>255</v>
      </c>
      <c r="U57" s="45"/>
      <c r="V57" s="44" t="s">
        <v>1517</v>
      </c>
      <c r="W57" s="44">
        <v>967000010238638</v>
      </c>
      <c r="X57" s="44" t="s">
        <v>359</v>
      </c>
      <c r="Y57" s="46" t="s">
        <v>359</v>
      </c>
      <c r="Z57" s="44" t="s">
        <v>779</v>
      </c>
      <c r="AA57" s="44" t="s">
        <v>780</v>
      </c>
      <c r="AB57" s="44" t="s">
        <v>1419</v>
      </c>
      <c r="AC57" s="44" t="s">
        <v>1419</v>
      </c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4" t="s">
        <v>781</v>
      </c>
      <c r="AO57" s="44" t="s">
        <v>359</v>
      </c>
      <c r="AP57" s="44" t="s">
        <v>359</v>
      </c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</row>
    <row r="58" spans="1:63" ht="23.25" customHeight="1">
      <c r="A58" s="69">
        <v>60</v>
      </c>
      <c r="B58" s="205">
        <v>58</v>
      </c>
      <c r="C58" s="40">
        <v>1</v>
      </c>
      <c r="D58" s="40" t="s">
        <v>95</v>
      </c>
      <c r="E58" s="40" t="s">
        <v>232</v>
      </c>
      <c r="F58" s="40" t="s">
        <v>526</v>
      </c>
      <c r="G58" s="40" t="s">
        <v>527</v>
      </c>
      <c r="H58" s="41" t="s">
        <v>528</v>
      </c>
      <c r="I58" s="80"/>
      <c r="J58" s="40" t="s">
        <v>529</v>
      </c>
      <c r="K58" s="40">
        <v>2015</v>
      </c>
      <c r="L58" s="40" t="s">
        <v>529</v>
      </c>
      <c r="M58" s="40" t="s">
        <v>1</v>
      </c>
      <c r="N58" s="40">
        <v>67182</v>
      </c>
      <c r="O58" s="40" t="s">
        <v>530</v>
      </c>
      <c r="P58" s="80"/>
      <c r="Q58" s="40" t="s">
        <v>531</v>
      </c>
      <c r="R58" s="40" t="s">
        <v>532</v>
      </c>
      <c r="S58" s="40" t="s">
        <v>2</v>
      </c>
      <c r="T58" s="40" t="s">
        <v>24</v>
      </c>
      <c r="U58" s="80"/>
      <c r="V58" s="40" t="s">
        <v>1518</v>
      </c>
      <c r="W58" s="40">
        <v>963007300001497</v>
      </c>
      <c r="X58" s="40" t="s">
        <v>359</v>
      </c>
      <c r="Y58" s="41" t="s">
        <v>359</v>
      </c>
      <c r="Z58" s="40" t="s">
        <v>533</v>
      </c>
      <c r="AA58" s="40" t="s">
        <v>129</v>
      </c>
      <c r="AB58" s="40" t="s">
        <v>1519</v>
      </c>
      <c r="AC58" s="40" t="s">
        <v>1520</v>
      </c>
      <c r="AD58" s="80"/>
      <c r="AE58" s="80"/>
      <c r="AF58" s="82" t="str">
        <f>HYPERLINK("https://drive.google.com/open?id=11gQD1_q4QBLMUBpZiCYYLjNO1w17lYCS","Screenshot_2021-07-24-21-51-03-727_cz.moneta.smartbanka.jpg")</f>
        <v>Screenshot_2021-07-24-21-51-03-727_cz.moneta.smartbanka.jpg</v>
      </c>
      <c r="AG58" s="80"/>
      <c r="AH58" s="80"/>
      <c r="AI58" s="82" t="str">
        <f>HYPERLINK("https://drive.google.com/open?id=1RpV3k0w4Sbr4p8JpOYsGn3JPQ2fsmkyk","IMG_20210724_214030.jpg")</f>
        <v>IMG_20210724_214030.jpg</v>
      </c>
      <c r="AJ58" s="80"/>
      <c r="AK58" s="80"/>
      <c r="AL58" s="40" t="s">
        <v>4</v>
      </c>
      <c r="AM58" s="80"/>
      <c r="AN58" s="40" t="s">
        <v>534</v>
      </c>
      <c r="AO58" s="40" t="s">
        <v>33</v>
      </c>
      <c r="AP58" s="40" t="s">
        <v>25</v>
      </c>
      <c r="AQ58" s="80"/>
      <c r="AR58" s="80"/>
      <c r="AS58" s="80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40"/>
      <c r="BH58" s="84"/>
      <c r="BI58" s="84"/>
      <c r="BJ58" s="84"/>
      <c r="BK58" s="84"/>
    </row>
    <row r="59" spans="1:63" ht="23.25" customHeight="1">
      <c r="A59" s="44">
        <v>174</v>
      </c>
      <c r="B59" s="205">
        <v>59</v>
      </c>
      <c r="C59" s="44">
        <v>1</v>
      </c>
      <c r="D59" s="44" t="s">
        <v>664</v>
      </c>
      <c r="E59" s="44" t="s">
        <v>232</v>
      </c>
      <c r="F59" s="44" t="s">
        <v>18</v>
      </c>
      <c r="G59" s="44" t="s">
        <v>727</v>
      </c>
      <c r="H59" s="44">
        <v>728474436</v>
      </c>
      <c r="I59" s="45"/>
      <c r="J59" s="44" t="s">
        <v>728</v>
      </c>
      <c r="K59" s="44">
        <v>337</v>
      </c>
      <c r="L59" s="44" t="s">
        <v>729</v>
      </c>
      <c r="M59" s="45"/>
      <c r="N59" s="45"/>
      <c r="O59" s="45"/>
      <c r="P59" s="45"/>
      <c r="Q59" s="44" t="s">
        <v>1318</v>
      </c>
      <c r="R59" s="44" t="s">
        <v>1319</v>
      </c>
      <c r="S59" s="44" t="s">
        <v>2</v>
      </c>
      <c r="T59" s="44" t="s">
        <v>255</v>
      </c>
      <c r="U59" s="45"/>
      <c r="V59" s="44" t="s">
        <v>1521</v>
      </c>
      <c r="W59" s="44"/>
      <c r="X59" s="44" t="s">
        <v>359</v>
      </c>
      <c r="Y59" s="46" t="s">
        <v>359</v>
      </c>
      <c r="Z59" s="44" t="s">
        <v>1320</v>
      </c>
      <c r="AA59" s="44" t="s">
        <v>562</v>
      </c>
      <c r="AB59" s="44" t="s">
        <v>1321</v>
      </c>
      <c r="AC59" s="44" t="s">
        <v>1322</v>
      </c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4" t="s">
        <v>1323</v>
      </c>
      <c r="AO59" s="44" t="s">
        <v>33</v>
      </c>
      <c r="AP59" s="44" t="s">
        <v>25</v>
      </c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</row>
    <row r="60" spans="1:63" ht="23.25" customHeight="1">
      <c r="A60" s="69">
        <v>48</v>
      </c>
      <c r="B60" s="205">
        <v>60</v>
      </c>
      <c r="C60" s="44">
        <v>1</v>
      </c>
      <c r="D60" s="44" t="s">
        <v>443</v>
      </c>
      <c r="E60" s="44" t="s">
        <v>232</v>
      </c>
      <c r="F60" s="44" t="s">
        <v>422</v>
      </c>
      <c r="G60" s="44" t="s">
        <v>423</v>
      </c>
      <c r="H60" s="46" t="s">
        <v>424</v>
      </c>
      <c r="I60" s="49"/>
      <c r="J60" s="44" t="s">
        <v>425</v>
      </c>
      <c r="K60" s="44">
        <v>93</v>
      </c>
      <c r="L60" s="44" t="s">
        <v>425</v>
      </c>
      <c r="M60" s="44" t="s">
        <v>426</v>
      </c>
      <c r="N60" s="49"/>
      <c r="O60" s="44" t="s">
        <v>427</v>
      </c>
      <c r="P60" s="49"/>
      <c r="Q60" s="44" t="s">
        <v>444</v>
      </c>
      <c r="R60" s="44" t="s">
        <v>433</v>
      </c>
      <c r="S60" s="44" t="s">
        <v>2</v>
      </c>
      <c r="T60" s="44" t="s">
        <v>255</v>
      </c>
      <c r="U60" s="49"/>
      <c r="V60" s="44" t="s">
        <v>1522</v>
      </c>
      <c r="W60" s="44" t="s">
        <v>445</v>
      </c>
      <c r="X60" s="44" t="s">
        <v>359</v>
      </c>
      <c r="Y60" s="46" t="s">
        <v>359</v>
      </c>
      <c r="Z60" s="44" t="s">
        <v>446</v>
      </c>
      <c r="AA60" s="44" t="s">
        <v>447</v>
      </c>
      <c r="AB60" s="44" t="s">
        <v>1437</v>
      </c>
      <c r="AC60" s="44" t="s">
        <v>1437</v>
      </c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4" t="s">
        <v>359</v>
      </c>
      <c r="AP60" s="44" t="s">
        <v>359</v>
      </c>
      <c r="AQ60" s="49"/>
      <c r="AR60" s="49"/>
      <c r="AS60" s="49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44"/>
      <c r="BH60" s="45"/>
      <c r="BI60" s="45"/>
      <c r="BJ60" s="45"/>
      <c r="BK60" s="45"/>
    </row>
    <row r="61" spans="1:63" ht="23.25" customHeight="1">
      <c r="A61" s="69">
        <v>49</v>
      </c>
      <c r="B61" s="205">
        <v>61</v>
      </c>
      <c r="C61" s="56">
        <v>1</v>
      </c>
      <c r="D61" s="56" t="s">
        <v>443</v>
      </c>
      <c r="E61" s="56" t="s">
        <v>232</v>
      </c>
      <c r="F61" s="56" t="s">
        <v>422</v>
      </c>
      <c r="G61" s="56" t="s">
        <v>423</v>
      </c>
      <c r="H61" s="59" t="s">
        <v>424</v>
      </c>
      <c r="I61" s="104"/>
      <c r="J61" s="56" t="s">
        <v>425</v>
      </c>
      <c r="K61" s="56">
        <v>93</v>
      </c>
      <c r="L61" s="56" t="s">
        <v>425</v>
      </c>
      <c r="M61" s="56" t="s">
        <v>426</v>
      </c>
      <c r="N61" s="104"/>
      <c r="O61" s="56" t="s">
        <v>427</v>
      </c>
      <c r="P61" s="104"/>
      <c r="Q61" s="56" t="s">
        <v>448</v>
      </c>
      <c r="R61" s="56" t="s">
        <v>433</v>
      </c>
      <c r="S61" s="56" t="s">
        <v>2</v>
      </c>
      <c r="T61" s="56" t="s">
        <v>255</v>
      </c>
      <c r="U61" s="104"/>
      <c r="V61" s="56" t="s">
        <v>1502</v>
      </c>
      <c r="W61" s="56" t="s">
        <v>449</v>
      </c>
      <c r="X61" s="56" t="s">
        <v>359</v>
      </c>
      <c r="Y61" s="59" t="s">
        <v>359</v>
      </c>
      <c r="Z61" s="56" t="s">
        <v>450</v>
      </c>
      <c r="AA61" s="56" t="s">
        <v>447</v>
      </c>
      <c r="AB61" s="56" t="s">
        <v>1437</v>
      </c>
      <c r="AC61" s="56" t="s">
        <v>1437</v>
      </c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56" t="s">
        <v>359</v>
      </c>
      <c r="AP61" s="56" t="s">
        <v>359</v>
      </c>
      <c r="AQ61" s="104"/>
      <c r="AR61" s="104"/>
      <c r="AS61" s="104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6"/>
      <c r="BH61" s="61"/>
      <c r="BI61" s="61"/>
      <c r="BJ61" s="61"/>
      <c r="BK61" s="61"/>
    </row>
    <row r="62" spans="1:63" ht="23.25" customHeight="1">
      <c r="A62" s="42">
        <v>76</v>
      </c>
      <c r="B62" s="205">
        <v>62</v>
      </c>
      <c r="C62" s="56">
        <v>1</v>
      </c>
      <c r="D62" s="56" t="s">
        <v>664</v>
      </c>
      <c r="E62" s="56" t="s">
        <v>232</v>
      </c>
      <c r="F62" s="56" t="s">
        <v>10</v>
      </c>
      <c r="G62" s="56" t="s">
        <v>657</v>
      </c>
      <c r="H62" s="56">
        <v>603505236</v>
      </c>
      <c r="I62" s="104"/>
      <c r="J62" s="56" t="s">
        <v>658</v>
      </c>
      <c r="K62" s="56">
        <v>670</v>
      </c>
      <c r="L62" s="56" t="s">
        <v>658</v>
      </c>
      <c r="M62" s="56" t="s">
        <v>1</v>
      </c>
      <c r="N62" s="56">
        <v>73943</v>
      </c>
      <c r="O62" s="56" t="s">
        <v>659</v>
      </c>
      <c r="P62" s="104"/>
      <c r="Q62" s="56" t="s">
        <v>665</v>
      </c>
      <c r="R62" s="56" t="s">
        <v>661</v>
      </c>
      <c r="S62" s="56" t="s">
        <v>2</v>
      </c>
      <c r="T62" s="56" t="s">
        <v>255</v>
      </c>
      <c r="U62" s="104"/>
      <c r="V62" s="56" t="s">
        <v>1502</v>
      </c>
      <c r="W62" s="56">
        <v>941000024821262</v>
      </c>
      <c r="X62" s="56" t="s">
        <v>359</v>
      </c>
      <c r="Y62" s="59" t="s">
        <v>359</v>
      </c>
      <c r="Z62" s="56" t="s">
        <v>666</v>
      </c>
      <c r="AA62" s="56" t="s">
        <v>140</v>
      </c>
      <c r="AB62" s="56" t="s">
        <v>759</v>
      </c>
      <c r="AC62" s="56" t="s">
        <v>759</v>
      </c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56" t="s">
        <v>667</v>
      </c>
      <c r="AO62" s="56" t="s">
        <v>33</v>
      </c>
      <c r="AP62" s="56" t="s">
        <v>25</v>
      </c>
      <c r="AQ62" s="104"/>
      <c r="AR62" s="104"/>
      <c r="AS62" s="104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6"/>
      <c r="BH62" s="61"/>
      <c r="BI62" s="61"/>
      <c r="BJ62" s="61"/>
      <c r="BK62" s="61"/>
    </row>
    <row r="63" spans="1:63" ht="23.25" customHeight="1">
      <c r="A63" s="119">
        <v>36</v>
      </c>
      <c r="B63" s="205">
        <v>63</v>
      </c>
      <c r="C63" s="64">
        <v>1</v>
      </c>
      <c r="D63" s="64" t="s">
        <v>95</v>
      </c>
      <c r="E63" s="64" t="s">
        <v>232</v>
      </c>
      <c r="F63" s="64" t="s">
        <v>352</v>
      </c>
      <c r="G63" s="64" t="s">
        <v>363</v>
      </c>
      <c r="H63" s="64">
        <v>605466093</v>
      </c>
      <c r="I63" s="86"/>
      <c r="J63" s="64" t="s">
        <v>354</v>
      </c>
      <c r="K63" s="64">
        <v>69</v>
      </c>
      <c r="L63" s="64" t="s">
        <v>355</v>
      </c>
      <c r="M63" s="64" t="s">
        <v>11</v>
      </c>
      <c r="N63" s="64">
        <v>79401</v>
      </c>
      <c r="O63" s="64" t="s">
        <v>356</v>
      </c>
      <c r="P63" s="86"/>
      <c r="Q63" s="64" t="s">
        <v>364</v>
      </c>
      <c r="R63" s="64" t="s">
        <v>358</v>
      </c>
      <c r="S63" s="64" t="s">
        <v>2</v>
      </c>
      <c r="T63" s="64" t="s">
        <v>24</v>
      </c>
      <c r="U63" s="86"/>
      <c r="V63" s="64" t="s">
        <v>1523</v>
      </c>
      <c r="W63" s="64">
        <v>963007200005353</v>
      </c>
      <c r="X63" s="64" t="s">
        <v>359</v>
      </c>
      <c r="Y63" s="65" t="s">
        <v>359</v>
      </c>
      <c r="Z63" s="64" t="s">
        <v>365</v>
      </c>
      <c r="AA63" s="64" t="s">
        <v>366</v>
      </c>
      <c r="AB63" s="81" t="s">
        <v>1488</v>
      </c>
      <c r="AC63" s="81" t="s">
        <v>1488</v>
      </c>
      <c r="AD63" s="86"/>
      <c r="AE63" s="86"/>
      <c r="AF63" s="87" t="str">
        <f>HYPERLINK("https://drive.google.com/open?id=1KQvXaroxiD5T30Ndgbah07tKohw0HgJQ","Potvrzeni_o_platbe_RBCZ_20210721_0000.pdf")</f>
        <v>Potvrzeni_o_platbe_RBCZ_20210721_0000.pdf</v>
      </c>
      <c r="AG63" s="86"/>
      <c r="AH63" s="86"/>
      <c r="AI63" s="87" t="str">
        <f>HYPERLINK("https://drive.google.com/open?id=1IozkUQAS0ji0kO3QospMmYn2h6u0XJdf","Přední strana rodokmen Wara.jpg")</f>
        <v>Přední strana rodokmen Wara.jpg</v>
      </c>
      <c r="AJ63" s="87" t="str">
        <f>HYPERLINK("https://drive.google.com/open?id=134t-C8dP24d1fXr4wUoAvi5L0f1cgOY-","Zadní strana rodokmen Wara.jpg")</f>
        <v>Zadní strana rodokmen Wara.jpg</v>
      </c>
      <c r="AK63" s="87" t="str">
        <f>HYPERLINK("https://drive.google.com/open?id=1R47Jz_AQKh2QjPLie9YIfjThbguldTL0","Potvrzeni_o_platbe_RBCZ_20201030_0000.pdf")</f>
        <v>Potvrzeni_o_platbe_RBCZ_20201030_0000.pdf</v>
      </c>
      <c r="AL63" s="64" t="s">
        <v>4</v>
      </c>
      <c r="AM63" s="86"/>
      <c r="AN63" s="64" t="s">
        <v>367</v>
      </c>
      <c r="AO63" s="64" t="s">
        <v>359</v>
      </c>
      <c r="AP63" s="64" t="s">
        <v>359</v>
      </c>
      <c r="AQ63" s="86"/>
      <c r="AR63" s="86"/>
      <c r="AS63" s="86"/>
      <c r="AT63" s="64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64"/>
      <c r="BH63" s="64"/>
      <c r="BI63" s="64"/>
      <c r="BJ63" s="64"/>
      <c r="BK63" s="64"/>
    </row>
    <row r="64" spans="1:63" ht="23.25" customHeight="1">
      <c r="A64" s="85">
        <v>58</v>
      </c>
      <c r="B64" s="205">
        <v>64</v>
      </c>
      <c r="C64" s="64">
        <v>1</v>
      </c>
      <c r="D64" s="64" t="s">
        <v>95</v>
      </c>
      <c r="E64" s="64" t="s">
        <v>232</v>
      </c>
      <c r="F64" s="64" t="s">
        <v>507</v>
      </c>
      <c r="G64" s="64" t="s">
        <v>508</v>
      </c>
      <c r="H64" s="90" t="s">
        <v>509</v>
      </c>
      <c r="I64" s="86"/>
      <c r="J64" s="64" t="s">
        <v>510</v>
      </c>
      <c r="K64" s="64">
        <v>181</v>
      </c>
      <c r="L64" s="64" t="s">
        <v>511</v>
      </c>
      <c r="M64" s="64" t="s">
        <v>11</v>
      </c>
      <c r="N64" s="64">
        <v>38208</v>
      </c>
      <c r="O64" s="64" t="s">
        <v>512</v>
      </c>
      <c r="P64" s="86"/>
      <c r="Q64" s="64" t="s">
        <v>513</v>
      </c>
      <c r="R64" s="64" t="s">
        <v>200</v>
      </c>
      <c r="S64" s="64" t="s">
        <v>2</v>
      </c>
      <c r="T64" s="64" t="s">
        <v>24</v>
      </c>
      <c r="U64" s="86"/>
      <c r="V64" s="64" t="s">
        <v>1524</v>
      </c>
      <c r="W64" s="64" t="s">
        <v>514</v>
      </c>
      <c r="X64" s="64" t="s">
        <v>359</v>
      </c>
      <c r="Y64" s="65" t="s">
        <v>359</v>
      </c>
      <c r="Z64" s="64" t="s">
        <v>515</v>
      </c>
      <c r="AA64" s="64" t="s">
        <v>516</v>
      </c>
      <c r="AB64" s="64" t="s">
        <v>1495</v>
      </c>
      <c r="AC64" s="64" t="s">
        <v>1525</v>
      </c>
      <c r="AD64" s="86"/>
      <c r="AE64" s="86"/>
      <c r="AF64" s="87" t="str">
        <f>HYPERLINK("https://drive.google.com/open?id=1kGjTwJOVzen7ruxbqpMYQR2oUCHZj-9v","Skener_20210723.png")</f>
        <v>Skener_20210723.png</v>
      </c>
      <c r="AG64" s="86"/>
      <c r="AH64" s="86"/>
      <c r="AI64" s="87" t="str">
        <f>HYPERLINK("https://drive.google.com/open?id=1-VDrqF9gm72pL11EzBy_Ikx8Tmjx-mRq","Rodokmen Zafra.png")</f>
        <v>Rodokmen Zafra.png</v>
      </c>
      <c r="AJ64" s="87" t="str">
        <f>HYPERLINK("https://drive.google.com/open?id=1UzIRyxh56s1tVW24uFRL0CJDha5Jkmki","Rodokmen Zafra (3).png")</f>
        <v>Rodokmen Zafra (3).png</v>
      </c>
      <c r="AK64" s="87" t="str">
        <f>HYPERLINK("https://drive.google.com/open?id=1_MI6sVoh_RF9Ndj9RRyiUvyAV6jZwquV","Rodokmen Zafra (2).png")</f>
        <v>Rodokmen Zafra (2).png</v>
      </c>
      <c r="AL64" s="64" t="s">
        <v>4</v>
      </c>
      <c r="AM64" s="86"/>
      <c r="AN64" s="64" t="s">
        <v>517</v>
      </c>
      <c r="AO64" s="64">
        <v>0</v>
      </c>
      <c r="AP64" s="64">
        <v>0</v>
      </c>
      <c r="AQ64" s="86"/>
      <c r="AR64" s="86"/>
      <c r="AS64" s="86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64"/>
      <c r="BH64" s="89"/>
      <c r="BI64" s="89"/>
      <c r="BJ64" s="89"/>
      <c r="BK64" s="89"/>
    </row>
    <row r="65" spans="1:63" ht="23.25" customHeight="1">
      <c r="A65" s="42">
        <v>139</v>
      </c>
      <c r="B65" s="63">
        <v>65</v>
      </c>
      <c r="C65" s="44">
        <v>1</v>
      </c>
      <c r="D65" s="44" t="s">
        <v>95</v>
      </c>
      <c r="E65" s="44" t="s">
        <v>454</v>
      </c>
      <c r="F65" s="44" t="s">
        <v>55</v>
      </c>
      <c r="G65" s="44" t="s">
        <v>1066</v>
      </c>
      <c r="H65" s="125" t="s">
        <v>1067</v>
      </c>
      <c r="I65" s="45"/>
      <c r="J65" s="44" t="s">
        <v>1068</v>
      </c>
      <c r="K65" s="44">
        <v>19</v>
      </c>
      <c r="L65" s="44" t="s">
        <v>1069</v>
      </c>
      <c r="M65" s="44" t="s">
        <v>1070</v>
      </c>
      <c r="N65" s="44">
        <v>33141</v>
      </c>
      <c r="O65" s="44" t="s">
        <v>1071</v>
      </c>
      <c r="P65" s="45"/>
      <c r="Q65" s="44" t="s">
        <v>1092</v>
      </c>
      <c r="R65" s="44" t="s">
        <v>1073</v>
      </c>
      <c r="S65" s="44" t="s">
        <v>2</v>
      </c>
      <c r="T65" s="44" t="s">
        <v>37</v>
      </c>
      <c r="U65" s="45"/>
      <c r="V65" s="44" t="s">
        <v>1527</v>
      </c>
      <c r="W65" s="44">
        <v>945000002290322</v>
      </c>
      <c r="X65" s="44" t="s">
        <v>359</v>
      </c>
      <c r="Y65" s="46" t="s">
        <v>359</v>
      </c>
      <c r="Z65" s="44" t="s">
        <v>338</v>
      </c>
      <c r="AA65" s="44" t="s">
        <v>1093</v>
      </c>
      <c r="AB65" s="44" t="s">
        <v>1173</v>
      </c>
      <c r="AC65" s="44" t="s">
        <v>1173</v>
      </c>
      <c r="AD65" s="45"/>
      <c r="AE65" s="45"/>
      <c r="AF65" s="68" t="str">
        <f>HYPERLINK("https://drive.google.com/open?id=1iO_7_7IU3huJUZbuNcqDgbwx8T1EhxLQ","Transakce_2000006828944121.pdf")</f>
        <v>Transakce_2000006828944121.pdf</v>
      </c>
      <c r="AG65" s="45"/>
      <c r="AH65" s="45"/>
      <c r="AI65" s="68" t="str">
        <f>HYPERLINK("https://drive.google.com/open?id=1ba2109Fd36-oZPaamCIN7SEY4EWiBz17","Ennie.jpg")</f>
        <v>Ennie.jpg</v>
      </c>
      <c r="AJ65" s="45"/>
      <c r="AK65" s="45"/>
      <c r="AL65" s="44" t="s">
        <v>4</v>
      </c>
      <c r="AM65" s="45"/>
      <c r="AN65" s="44" t="s">
        <v>1094</v>
      </c>
      <c r="AO65" s="44" t="s">
        <v>359</v>
      </c>
      <c r="AP65" s="44" t="s">
        <v>359</v>
      </c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</row>
    <row r="66" spans="1:63" ht="23.25" customHeight="1">
      <c r="A66" s="31">
        <v>145</v>
      </c>
      <c r="B66" s="205">
        <v>66</v>
      </c>
      <c r="C66" s="48">
        <v>1</v>
      </c>
      <c r="D66" s="48" t="s">
        <v>95</v>
      </c>
      <c r="E66" s="48" t="s">
        <v>454</v>
      </c>
      <c r="F66" s="48" t="s">
        <v>55</v>
      </c>
      <c r="G66" s="48" t="s">
        <v>1066</v>
      </c>
      <c r="H66" s="54" t="s">
        <v>1067</v>
      </c>
      <c r="I66" s="51"/>
      <c r="J66" s="48" t="s">
        <v>1509</v>
      </c>
      <c r="K66" s="48" t="s">
        <v>359</v>
      </c>
      <c r="L66" s="48" t="s">
        <v>1510</v>
      </c>
      <c r="M66" s="48" t="s">
        <v>1070</v>
      </c>
      <c r="N66" s="48">
        <v>33141</v>
      </c>
      <c r="O66" s="48" t="s">
        <v>1071</v>
      </c>
      <c r="P66" s="51"/>
      <c r="Q66" s="48" t="s">
        <v>1122</v>
      </c>
      <c r="R66" s="48" t="s">
        <v>1118</v>
      </c>
      <c r="S66" s="48" t="s">
        <v>2</v>
      </c>
      <c r="T66" s="48" t="s">
        <v>37</v>
      </c>
      <c r="U66" s="51"/>
      <c r="V66" s="48" t="s">
        <v>1511</v>
      </c>
      <c r="W66" s="48">
        <v>956000012600657</v>
      </c>
      <c r="X66" s="48" t="s">
        <v>359</v>
      </c>
      <c r="Y66" s="52" t="s">
        <v>359</v>
      </c>
      <c r="Z66" s="48" t="s">
        <v>1119</v>
      </c>
      <c r="AA66" s="48" t="s">
        <v>1120</v>
      </c>
      <c r="AB66" s="48" t="s">
        <v>1512</v>
      </c>
      <c r="AC66" s="48" t="s">
        <v>1512</v>
      </c>
      <c r="AD66" s="51"/>
      <c r="AE66" s="51"/>
      <c r="AF66" s="55" t="str">
        <f>HYPERLINK("https://drive.google.com/open?id=1XF-GcltWHT7yw76cUKoeWm5Jdqhm1hhO","Krycí list.pdf")</f>
        <v>Krycí list.pdf</v>
      </c>
      <c r="AG66" s="51"/>
      <c r="AH66" s="51"/>
      <c r="AI66" s="55" t="str">
        <f>HYPERLINK("https://drive.google.com/open?id=1HR_kIq7YDoq9QaIT-NAg1VgKosLN9jgz","ingrid.jpg")</f>
        <v>ingrid.jpg</v>
      </c>
      <c r="AJ66" s="51"/>
      <c r="AK66" s="51"/>
      <c r="AL66" s="48" t="s">
        <v>4</v>
      </c>
      <c r="AM66" s="51"/>
      <c r="AN66" s="48" t="s">
        <v>1123</v>
      </c>
      <c r="AO66" s="48" t="s">
        <v>359</v>
      </c>
      <c r="AP66" s="48" t="s">
        <v>359</v>
      </c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</row>
    <row r="67" spans="1:63" ht="23.25" customHeight="1">
      <c r="A67" s="85">
        <v>51</v>
      </c>
      <c r="B67" s="205">
        <v>67</v>
      </c>
      <c r="C67" s="135">
        <v>1</v>
      </c>
      <c r="D67" s="135" t="s">
        <v>95</v>
      </c>
      <c r="E67" s="135" t="s">
        <v>454</v>
      </c>
      <c r="F67" s="135" t="s">
        <v>31</v>
      </c>
      <c r="G67" s="135" t="s">
        <v>455</v>
      </c>
      <c r="H67" s="136" t="s">
        <v>456</v>
      </c>
      <c r="I67" s="137"/>
      <c r="J67" s="135" t="s">
        <v>457</v>
      </c>
      <c r="K67" s="135">
        <v>2162</v>
      </c>
      <c r="L67" s="135" t="s">
        <v>458</v>
      </c>
      <c r="M67" s="135" t="s">
        <v>1</v>
      </c>
      <c r="N67" s="135" t="s">
        <v>459</v>
      </c>
      <c r="O67" s="135" t="s">
        <v>460</v>
      </c>
      <c r="P67" s="137"/>
      <c r="Q67" s="135" t="s">
        <v>461</v>
      </c>
      <c r="R67" s="135" t="s">
        <v>462</v>
      </c>
      <c r="S67" s="135" t="s">
        <v>2</v>
      </c>
      <c r="T67" s="135" t="s">
        <v>37</v>
      </c>
      <c r="U67" s="137"/>
      <c r="V67" s="135" t="s">
        <v>1528</v>
      </c>
      <c r="W67" s="135">
        <v>981020000774697</v>
      </c>
      <c r="X67" s="135" t="s">
        <v>359</v>
      </c>
      <c r="Y67" s="138" t="s">
        <v>359</v>
      </c>
      <c r="Z67" s="135" t="s">
        <v>463</v>
      </c>
      <c r="AA67" s="135" t="s">
        <v>464</v>
      </c>
      <c r="AB67" s="135" t="s">
        <v>1529</v>
      </c>
      <c r="AC67" s="135" t="s">
        <v>1530</v>
      </c>
      <c r="AD67" s="137"/>
      <c r="AE67" s="137"/>
      <c r="AF67" s="139" t="str">
        <f>HYPERLINK("https://drive.google.com/open?id=1tcutfYq4Tli6nKcIYnZxZUXYMiidHsz_","Platba klubovka.pdf")</f>
        <v>Platba klubovka.pdf</v>
      </c>
      <c r="AG67" s="137"/>
      <c r="AH67" s="137"/>
      <c r="AI67" s="139" t="str">
        <f>HYPERLINK("https://drive.google.com/open?id=1ulVU9X62NaNWpoMVZUBMDxNlODnhX7vl","PP s čipem.pdf")</f>
        <v>PP s čipem.pdf</v>
      </c>
      <c r="AJ67" s="137"/>
      <c r="AK67" s="137"/>
      <c r="AL67" s="135" t="s">
        <v>4</v>
      </c>
      <c r="AM67" s="137"/>
      <c r="AN67" s="135" t="s">
        <v>465</v>
      </c>
      <c r="AO67" s="135" t="s">
        <v>271</v>
      </c>
      <c r="AP67" s="135">
        <v>1</v>
      </c>
      <c r="AQ67" s="137"/>
      <c r="AR67" s="137"/>
      <c r="AS67" s="137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35"/>
      <c r="BH67" s="141"/>
      <c r="BI67" s="141"/>
      <c r="BJ67" s="141"/>
      <c r="BK67" s="141"/>
    </row>
    <row r="68" spans="1:63" ht="23.25" customHeight="1">
      <c r="A68" s="31">
        <v>160</v>
      </c>
      <c r="B68" s="205">
        <v>68</v>
      </c>
      <c r="C68" s="48">
        <v>1</v>
      </c>
      <c r="D68" s="48" t="s">
        <v>178</v>
      </c>
      <c r="E68" s="48" t="s">
        <v>232</v>
      </c>
      <c r="F68" s="48" t="s">
        <v>67</v>
      </c>
      <c r="G68" s="48" t="s">
        <v>1213</v>
      </c>
      <c r="H68" s="48">
        <v>605589369</v>
      </c>
      <c r="I68" s="51"/>
      <c r="J68" s="48" t="s">
        <v>1214</v>
      </c>
      <c r="K68" s="48">
        <v>2826</v>
      </c>
      <c r="L68" s="48" t="s">
        <v>1215</v>
      </c>
      <c r="M68" s="51"/>
      <c r="N68" s="48">
        <v>39005</v>
      </c>
      <c r="O68" s="48" t="s">
        <v>1216</v>
      </c>
      <c r="P68" s="51"/>
      <c r="Q68" s="48" t="s">
        <v>1230</v>
      </c>
      <c r="R68" s="48" t="s">
        <v>1218</v>
      </c>
      <c r="S68" s="48" t="s">
        <v>2</v>
      </c>
      <c r="T68" s="48" t="s">
        <v>255</v>
      </c>
      <c r="U68" s="51"/>
      <c r="V68" s="48" t="s">
        <v>1477</v>
      </c>
      <c r="W68" s="48" t="s">
        <v>1231</v>
      </c>
      <c r="X68" s="48" t="s">
        <v>359</v>
      </c>
      <c r="Y68" s="52" t="s">
        <v>359</v>
      </c>
      <c r="Z68" s="48" t="s">
        <v>1232</v>
      </c>
      <c r="AA68" s="48" t="s">
        <v>1233</v>
      </c>
      <c r="AB68" s="48" t="s">
        <v>1223</v>
      </c>
      <c r="AC68" s="48" t="s">
        <v>1223</v>
      </c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48" t="s">
        <v>1234</v>
      </c>
      <c r="AO68" s="48" t="s">
        <v>359</v>
      </c>
      <c r="AP68" s="48" t="s">
        <v>359</v>
      </c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</row>
    <row r="69" spans="1:63" ht="23.25" customHeight="1">
      <c r="A69" s="62">
        <v>4</v>
      </c>
      <c r="B69" s="205">
        <v>69</v>
      </c>
      <c r="C69" s="64">
        <v>1</v>
      </c>
      <c r="D69" s="64" t="s">
        <v>82</v>
      </c>
      <c r="E69" s="64"/>
      <c r="F69" s="64" t="s">
        <v>83</v>
      </c>
      <c r="G69" s="64" t="s">
        <v>84</v>
      </c>
      <c r="H69" s="76" t="s">
        <v>85</v>
      </c>
      <c r="I69" s="64"/>
      <c r="J69" s="64" t="s">
        <v>86</v>
      </c>
      <c r="K69" s="64" t="s">
        <v>87</v>
      </c>
      <c r="L69" s="64" t="s">
        <v>34</v>
      </c>
      <c r="M69" s="64" t="s">
        <v>1</v>
      </c>
      <c r="N69" s="64" t="s">
        <v>88</v>
      </c>
      <c r="O69" s="108" t="s">
        <v>89</v>
      </c>
      <c r="P69" s="64"/>
      <c r="Q69" s="64" t="s">
        <v>90</v>
      </c>
      <c r="R69" s="64" t="s">
        <v>91</v>
      </c>
      <c r="S69" s="64" t="s">
        <v>2</v>
      </c>
      <c r="T69" s="64" t="s">
        <v>24</v>
      </c>
      <c r="U69" s="64"/>
      <c r="V69" s="64" t="s">
        <v>1478</v>
      </c>
      <c r="W69" s="64">
        <v>941000024800764</v>
      </c>
      <c r="X69" s="64" t="s">
        <v>359</v>
      </c>
      <c r="Y69" s="65" t="s">
        <v>359</v>
      </c>
      <c r="Z69" s="64" t="s">
        <v>92</v>
      </c>
      <c r="AA69" s="64" t="s">
        <v>93</v>
      </c>
      <c r="AB69" s="64" t="s">
        <v>1479</v>
      </c>
      <c r="AC69" s="64" t="s">
        <v>1479</v>
      </c>
      <c r="AD69" s="64"/>
      <c r="AE69" s="64"/>
      <c r="AF69" s="79" t="str">
        <f>HYPERLINK("https://drive.google.com/open?id=1rFHvj5J6KJ56geeyRQ0tSmBQecb9X3xI","Povrzení platby KVV 2021.pdf")</f>
        <v>Povrzení platby KVV 2021.pdf</v>
      </c>
      <c r="AG69" s="64"/>
      <c r="AH69" s="64"/>
      <c r="AI69" s="79" t="str">
        <f>HYPERLINK("https://drive.google.com/open?id=1alIQiOD2MHb7PhoeWBnG4dAtcQvmSL5W","PP Charlota.pdf")</f>
        <v>PP Charlota.pdf</v>
      </c>
      <c r="AJ69" s="64"/>
      <c r="AK69" s="64"/>
      <c r="AL69" s="64" t="s">
        <v>4</v>
      </c>
      <c r="AM69" s="64"/>
      <c r="AN69" s="64" t="s">
        <v>94</v>
      </c>
      <c r="AO69" s="64" t="s">
        <v>359</v>
      </c>
      <c r="AP69" s="64" t="s">
        <v>359</v>
      </c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</row>
    <row r="70" spans="1:63" ht="23.25" customHeight="1">
      <c r="A70" s="42">
        <v>149</v>
      </c>
      <c r="B70" s="205">
        <v>70</v>
      </c>
      <c r="C70" s="44">
        <v>1</v>
      </c>
      <c r="D70" s="44" t="s">
        <v>178</v>
      </c>
      <c r="E70" s="44" t="s">
        <v>232</v>
      </c>
      <c r="F70" s="44" t="s">
        <v>22</v>
      </c>
      <c r="G70" s="44" t="s">
        <v>1139</v>
      </c>
      <c r="H70" s="44">
        <v>775865998</v>
      </c>
      <c r="I70" s="45"/>
      <c r="J70" s="44" t="s">
        <v>310</v>
      </c>
      <c r="K70" s="109" t="s">
        <v>1140</v>
      </c>
      <c r="L70" s="44" t="s">
        <v>1141</v>
      </c>
      <c r="M70" s="44" t="s">
        <v>1</v>
      </c>
      <c r="N70" s="44">
        <v>40801</v>
      </c>
      <c r="O70" s="44" t="s">
        <v>1142</v>
      </c>
      <c r="P70" s="45"/>
      <c r="Q70" s="44" t="s">
        <v>1143</v>
      </c>
      <c r="R70" s="44" t="s">
        <v>1144</v>
      </c>
      <c r="S70" s="44" t="s">
        <v>2</v>
      </c>
      <c r="T70" s="44" t="s">
        <v>255</v>
      </c>
      <c r="U70" s="45"/>
      <c r="V70" s="44" t="s">
        <v>1480</v>
      </c>
      <c r="W70" s="44">
        <v>941000024667666</v>
      </c>
      <c r="X70" s="44" t="s">
        <v>359</v>
      </c>
      <c r="Y70" s="46" t="s">
        <v>359</v>
      </c>
      <c r="Z70" s="44" t="s">
        <v>1145</v>
      </c>
      <c r="AA70" s="44" t="s">
        <v>1146</v>
      </c>
      <c r="AB70" s="44" t="s">
        <v>1481</v>
      </c>
      <c r="AC70" s="44" t="s">
        <v>1481</v>
      </c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4" t="s">
        <v>1147</v>
      </c>
      <c r="AO70" s="44" t="s">
        <v>359</v>
      </c>
      <c r="AP70" s="44" t="s">
        <v>359</v>
      </c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</row>
    <row r="71" spans="1:63" ht="23.25" customHeight="1">
      <c r="A71" s="42">
        <v>97</v>
      </c>
      <c r="B71" s="205">
        <v>71</v>
      </c>
      <c r="C71" s="44">
        <v>1</v>
      </c>
      <c r="D71" s="44" t="s">
        <v>178</v>
      </c>
      <c r="E71" s="44" t="s">
        <v>232</v>
      </c>
      <c r="F71" s="44" t="s">
        <v>769</v>
      </c>
      <c r="G71" s="44" t="s">
        <v>770</v>
      </c>
      <c r="H71" s="44">
        <v>601336782</v>
      </c>
      <c r="I71" s="45"/>
      <c r="J71" s="44" t="s">
        <v>771</v>
      </c>
      <c r="K71" s="44">
        <v>18</v>
      </c>
      <c r="L71" s="44" t="s">
        <v>771</v>
      </c>
      <c r="M71" s="44" t="s">
        <v>1</v>
      </c>
      <c r="N71" s="44">
        <v>29404</v>
      </c>
      <c r="O71" s="44" t="s">
        <v>772</v>
      </c>
      <c r="P71" s="45"/>
      <c r="Q71" s="44" t="s">
        <v>782</v>
      </c>
      <c r="R71" s="44" t="s">
        <v>126</v>
      </c>
      <c r="S71" s="44" t="s">
        <v>2</v>
      </c>
      <c r="T71" s="44" t="s">
        <v>255</v>
      </c>
      <c r="U71" s="45"/>
      <c r="V71" s="44" t="s">
        <v>1458</v>
      </c>
      <c r="W71" s="44">
        <v>203003000596383</v>
      </c>
      <c r="X71" s="44" t="s">
        <v>359</v>
      </c>
      <c r="Y71" s="46" t="s">
        <v>359</v>
      </c>
      <c r="Z71" s="44" t="s">
        <v>123</v>
      </c>
      <c r="AA71" s="44" t="s">
        <v>780</v>
      </c>
      <c r="AB71" s="44" t="s">
        <v>1482</v>
      </c>
      <c r="AC71" s="44" t="s">
        <v>1419</v>
      </c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4" t="s">
        <v>783</v>
      </c>
      <c r="AO71" s="44" t="s">
        <v>359</v>
      </c>
      <c r="AP71" s="44" t="s">
        <v>359</v>
      </c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63" ht="23.25" customHeight="1">
      <c r="A72" s="42">
        <v>156</v>
      </c>
      <c r="B72" s="205">
        <v>72</v>
      </c>
      <c r="C72" s="44">
        <v>1</v>
      </c>
      <c r="D72" s="44" t="s">
        <v>178</v>
      </c>
      <c r="E72" s="44" t="s">
        <v>232</v>
      </c>
      <c r="F72" s="44" t="s">
        <v>526</v>
      </c>
      <c r="G72" s="44" t="s">
        <v>1189</v>
      </c>
      <c r="H72" s="44">
        <v>604331310</v>
      </c>
      <c r="I72" s="45"/>
      <c r="J72" s="44" t="s">
        <v>1190</v>
      </c>
      <c r="K72" s="44">
        <v>127</v>
      </c>
      <c r="L72" s="44" t="s">
        <v>1191</v>
      </c>
      <c r="M72" s="45"/>
      <c r="N72" s="45"/>
      <c r="O72" s="45"/>
      <c r="P72" s="45"/>
      <c r="Q72" s="44" t="s">
        <v>1198</v>
      </c>
      <c r="R72" s="44" t="s">
        <v>1193</v>
      </c>
      <c r="S72" s="44" t="s">
        <v>2</v>
      </c>
      <c r="T72" s="44" t="s">
        <v>255</v>
      </c>
      <c r="U72" s="45"/>
      <c r="V72" s="44" t="s">
        <v>1483</v>
      </c>
      <c r="W72" s="44" t="s">
        <v>1199</v>
      </c>
      <c r="X72" s="44" t="s">
        <v>359</v>
      </c>
      <c r="Y72" s="46" t="s">
        <v>359</v>
      </c>
      <c r="Z72" s="44" t="s">
        <v>1200</v>
      </c>
      <c r="AA72" s="44" t="s">
        <v>1201</v>
      </c>
      <c r="AB72" s="44" t="s">
        <v>1196</v>
      </c>
      <c r="AC72" s="44" t="s">
        <v>1196</v>
      </c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4" t="s">
        <v>1202</v>
      </c>
      <c r="AO72" s="44" t="s">
        <v>359</v>
      </c>
      <c r="AP72" s="44" t="s">
        <v>359</v>
      </c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</row>
    <row r="73" spans="1:63" ht="23.25" customHeight="1">
      <c r="A73" s="42">
        <v>67</v>
      </c>
      <c r="B73" s="205">
        <v>73</v>
      </c>
      <c r="C73" s="40">
        <v>1</v>
      </c>
      <c r="D73" s="40" t="s">
        <v>82</v>
      </c>
      <c r="E73" s="40" t="s">
        <v>232</v>
      </c>
      <c r="F73" s="40" t="s">
        <v>36</v>
      </c>
      <c r="G73" s="40" t="s">
        <v>585</v>
      </c>
      <c r="H73" s="107" t="s">
        <v>586</v>
      </c>
      <c r="I73" s="80"/>
      <c r="J73" s="40" t="s">
        <v>587</v>
      </c>
      <c r="K73" s="40">
        <v>453</v>
      </c>
      <c r="L73" s="40" t="s">
        <v>588</v>
      </c>
      <c r="M73" s="40" t="s">
        <v>11</v>
      </c>
      <c r="N73" s="40">
        <v>28002</v>
      </c>
      <c r="O73" s="40" t="s">
        <v>589</v>
      </c>
      <c r="P73" s="80"/>
      <c r="Q73" s="40" t="s">
        <v>595</v>
      </c>
      <c r="R73" s="40" t="s">
        <v>591</v>
      </c>
      <c r="S73" s="40" t="s">
        <v>2</v>
      </c>
      <c r="T73" s="40" t="s">
        <v>24</v>
      </c>
      <c r="U73" s="80"/>
      <c r="V73" s="40" t="s">
        <v>1455</v>
      </c>
      <c r="W73" s="40">
        <v>981020000773959</v>
      </c>
      <c r="X73" s="40" t="s">
        <v>359</v>
      </c>
      <c r="Y73" s="41" t="s">
        <v>359</v>
      </c>
      <c r="Z73" s="40" t="s">
        <v>592</v>
      </c>
      <c r="AA73" s="40" t="s">
        <v>596</v>
      </c>
      <c r="AB73" s="40" t="s">
        <v>1456</v>
      </c>
      <c r="AC73" s="40" t="s">
        <v>1457</v>
      </c>
      <c r="AD73" s="80"/>
      <c r="AE73" s="80"/>
      <c r="AF73" s="82" t="str">
        <f>HYPERLINK("https://drive.google.com/open?id=1ucjq7pxNeUESs6Gj77Mjer953WyqNF4D","Potvrzeni klubnovka.pdf")</f>
        <v>Potvrzeni klubnovka.pdf</v>
      </c>
      <c r="AG73" s="80"/>
      <c r="AH73" s="80"/>
      <c r="AI73" s="82" t="str">
        <f>HYPERLINK("https://drive.google.com/open?id=1c6elCBSgeaV859nX7CHLwTenuCCKurwy","Enny.pdf")</f>
        <v>Enny.pdf</v>
      </c>
      <c r="AJ73" s="82" t="str">
        <f>HYPERLINK("https://drive.google.com/open?id=1dGmoWcpP7wwg743yhuvv9EZ1MoCxePlB","platba ČKNO.pdf")</f>
        <v>platba ČKNO.pdf</v>
      </c>
      <c r="AK73" s="80"/>
      <c r="AL73" s="40" t="s">
        <v>4</v>
      </c>
      <c r="AM73" s="80"/>
      <c r="AN73" s="40" t="s">
        <v>597</v>
      </c>
      <c r="AO73" s="40" t="s">
        <v>359</v>
      </c>
      <c r="AP73" s="40" t="s">
        <v>359</v>
      </c>
      <c r="AQ73" s="80"/>
      <c r="AR73" s="80"/>
      <c r="AS73" s="80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40"/>
      <c r="BH73" s="84"/>
      <c r="BI73" s="84"/>
      <c r="BJ73" s="84"/>
      <c r="BK73" s="84"/>
    </row>
    <row r="74" spans="1:63" ht="23.25" customHeight="1">
      <c r="A74" s="42">
        <v>155</v>
      </c>
      <c r="B74" s="205">
        <v>74</v>
      </c>
      <c r="C74" s="44">
        <v>1</v>
      </c>
      <c r="D74" s="44" t="s">
        <v>178</v>
      </c>
      <c r="E74" s="44" t="s">
        <v>232</v>
      </c>
      <c r="F74" s="44" t="s">
        <v>526</v>
      </c>
      <c r="G74" s="44" t="s">
        <v>1189</v>
      </c>
      <c r="H74" s="44">
        <v>604331310</v>
      </c>
      <c r="I74" s="45"/>
      <c r="J74" s="44" t="s">
        <v>1190</v>
      </c>
      <c r="K74" s="44">
        <v>127</v>
      </c>
      <c r="L74" s="44" t="s">
        <v>1191</v>
      </c>
      <c r="M74" s="45"/>
      <c r="N74" s="45"/>
      <c r="O74" s="45"/>
      <c r="P74" s="45"/>
      <c r="Q74" s="44" t="s">
        <v>1192</v>
      </c>
      <c r="R74" s="44" t="s">
        <v>1193</v>
      </c>
      <c r="S74" s="44" t="s">
        <v>2</v>
      </c>
      <c r="T74" s="44" t="s">
        <v>255</v>
      </c>
      <c r="U74" s="45"/>
      <c r="V74" s="44" t="s">
        <v>1484</v>
      </c>
      <c r="W74" s="44" t="s">
        <v>1194</v>
      </c>
      <c r="X74" s="44" t="s">
        <v>359</v>
      </c>
      <c r="Y74" s="46" t="s">
        <v>359</v>
      </c>
      <c r="Z74" s="44" t="s">
        <v>1195</v>
      </c>
      <c r="AA74" s="44" t="s">
        <v>168</v>
      </c>
      <c r="AB74" s="44" t="s">
        <v>1196</v>
      </c>
      <c r="AC74" s="44" t="s">
        <v>1196</v>
      </c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4" t="s">
        <v>1197</v>
      </c>
      <c r="AO74" s="44" t="s">
        <v>359</v>
      </c>
      <c r="AP74" s="44" t="s">
        <v>359</v>
      </c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</row>
    <row r="75" spans="1:63" ht="23.25" customHeight="1">
      <c r="A75" s="62">
        <v>9</v>
      </c>
      <c r="B75" s="205">
        <v>75</v>
      </c>
      <c r="C75" s="64">
        <v>1</v>
      </c>
      <c r="D75" s="64" t="s">
        <v>82</v>
      </c>
      <c r="E75" s="64"/>
      <c r="F75" s="64" t="s">
        <v>130</v>
      </c>
      <c r="G75" s="64" t="s">
        <v>131</v>
      </c>
      <c r="H75" s="76" t="s">
        <v>132</v>
      </c>
      <c r="I75" s="64"/>
      <c r="J75" s="27" t="s">
        <v>133</v>
      </c>
      <c r="K75" s="64">
        <v>86</v>
      </c>
      <c r="L75" s="64" t="s">
        <v>134</v>
      </c>
      <c r="M75" s="64" t="s">
        <v>17</v>
      </c>
      <c r="N75" s="64" t="s">
        <v>135</v>
      </c>
      <c r="O75" s="27" t="s">
        <v>136</v>
      </c>
      <c r="P75" s="64"/>
      <c r="Q75" s="64" t="s">
        <v>137</v>
      </c>
      <c r="R75" s="64" t="s">
        <v>138</v>
      </c>
      <c r="S75" s="64" t="s">
        <v>2</v>
      </c>
      <c r="T75" s="64" t="s">
        <v>24</v>
      </c>
      <c r="U75" s="64"/>
      <c r="V75" s="77" t="s">
        <v>1458</v>
      </c>
      <c r="W75" s="78">
        <v>203164000092803</v>
      </c>
      <c r="X75" s="64" t="s">
        <v>359</v>
      </c>
      <c r="Y75" s="65" t="s">
        <v>359</v>
      </c>
      <c r="Z75" s="64" t="s">
        <v>139</v>
      </c>
      <c r="AA75" s="64" t="s">
        <v>140</v>
      </c>
      <c r="AB75" s="64" t="s">
        <v>1459</v>
      </c>
      <c r="AC75" s="64" t="s">
        <v>1459</v>
      </c>
      <c r="AD75" s="64"/>
      <c r="AE75" s="64"/>
      <c r="AF75" s="79" t="str">
        <f>HYPERLINK("https://drive.google.com/open?id=1dNGIeMG8zwnmun-sKMVN9lJAVWhLA-kQ","platba.txt")</f>
        <v>platba.txt</v>
      </c>
      <c r="AG75" s="64"/>
      <c r="AH75" s="64"/>
      <c r="AI75" s="79" t="str">
        <f>HYPERLINK("https://drive.google.com/open?id=1bN_dS3zpupHCJ9EIjWDZPUqF1mBW8w_V","Fany pp.pdf")</f>
        <v>Fany pp.pdf</v>
      </c>
      <c r="AJ75" s="64"/>
      <c r="AK75" s="64"/>
      <c r="AL75" s="64" t="s">
        <v>4</v>
      </c>
      <c r="AM75" s="64"/>
      <c r="AN75" s="64" t="s">
        <v>141</v>
      </c>
      <c r="AO75" s="64" t="s">
        <v>359</v>
      </c>
      <c r="AP75" s="64" t="s">
        <v>359</v>
      </c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</row>
    <row r="76" spans="1:63" ht="23.25" customHeight="1">
      <c r="A76" s="111">
        <v>3</v>
      </c>
      <c r="B76" s="205">
        <v>76</v>
      </c>
      <c r="C76" s="113">
        <v>1</v>
      </c>
      <c r="D76" s="112" t="s">
        <v>82</v>
      </c>
      <c r="E76" s="112"/>
      <c r="F76" s="112" t="s">
        <v>69</v>
      </c>
      <c r="G76" s="112" t="s">
        <v>70</v>
      </c>
      <c r="H76" s="113">
        <v>721145642</v>
      </c>
      <c r="I76" s="112"/>
      <c r="J76" s="112" t="s">
        <v>71</v>
      </c>
      <c r="K76" s="113">
        <v>265</v>
      </c>
      <c r="L76" s="112" t="s">
        <v>72</v>
      </c>
      <c r="M76" s="112" t="s">
        <v>73</v>
      </c>
      <c r="N76" s="112" t="s">
        <v>74</v>
      </c>
      <c r="O76" s="114" t="s">
        <v>75</v>
      </c>
      <c r="P76" s="112"/>
      <c r="Q76" s="112" t="s">
        <v>76</v>
      </c>
      <c r="R76" s="112" t="s">
        <v>77</v>
      </c>
      <c r="S76" s="112" t="s">
        <v>2</v>
      </c>
      <c r="T76" s="112" t="s">
        <v>24</v>
      </c>
      <c r="U76" s="112"/>
      <c r="V76" s="115" t="s">
        <v>1485</v>
      </c>
      <c r="W76" s="112" t="s">
        <v>78</v>
      </c>
      <c r="X76" s="116" t="s">
        <v>359</v>
      </c>
      <c r="Y76" s="117" t="s">
        <v>359</v>
      </c>
      <c r="Z76" s="112" t="s">
        <v>79</v>
      </c>
      <c r="AA76" s="112" t="s">
        <v>80</v>
      </c>
      <c r="AB76" s="112" t="s">
        <v>1486</v>
      </c>
      <c r="AC76" s="112" t="s">
        <v>1486</v>
      </c>
      <c r="AD76" s="112"/>
      <c r="AE76" s="112"/>
      <c r="AF76" s="118" t="str">
        <f>HYPERLINK("https://drive.google.com/open?id=1WI6rcpSS-VZWN0fX2dh9ZbogLmdyD8bL","Sia Rosa.jpg")</f>
        <v>Sia Rosa.jpg</v>
      </c>
      <c r="AG76" s="112"/>
      <c r="AH76" s="112"/>
      <c r="AI76" s="118" t="str">
        <f>HYPERLINK("https://drive.google.com/open?id=1egP3YzWp-_Ahcw1CNYqOYWjEJ2lzXBl0","Sia Rosa.jpg")</f>
        <v>Sia Rosa.jpg</v>
      </c>
      <c r="AJ76" s="112"/>
      <c r="AK76" s="112"/>
      <c r="AL76" s="112" t="s">
        <v>4</v>
      </c>
      <c r="AM76" s="112"/>
      <c r="AN76" s="112" t="s">
        <v>81</v>
      </c>
      <c r="AO76" s="116" t="s">
        <v>359</v>
      </c>
      <c r="AP76" s="116" t="s">
        <v>359</v>
      </c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</row>
    <row r="77" spans="1:63" ht="23.25" customHeight="1">
      <c r="A77" s="31">
        <v>91</v>
      </c>
      <c r="B77" s="205">
        <v>77</v>
      </c>
      <c r="C77" s="48">
        <v>1</v>
      </c>
      <c r="D77" s="48" t="s">
        <v>178</v>
      </c>
      <c r="E77" s="48" t="s">
        <v>232</v>
      </c>
      <c r="F77" s="48" t="s">
        <v>747</v>
      </c>
      <c r="G77" s="48" t="s">
        <v>748</v>
      </c>
      <c r="H77" s="48">
        <v>608887198</v>
      </c>
      <c r="I77" s="53"/>
      <c r="J77" s="48" t="s">
        <v>749</v>
      </c>
      <c r="K77" s="48">
        <v>34</v>
      </c>
      <c r="L77" s="48" t="s">
        <v>15</v>
      </c>
      <c r="M77" s="48" t="s">
        <v>1</v>
      </c>
      <c r="N77" s="48">
        <v>58603</v>
      </c>
      <c r="O77" s="48" t="s">
        <v>750</v>
      </c>
      <c r="P77" s="53"/>
      <c r="Q77" s="48" t="s">
        <v>756</v>
      </c>
      <c r="R77" s="48" t="s">
        <v>266</v>
      </c>
      <c r="S77" s="48" t="s">
        <v>2</v>
      </c>
      <c r="T77" s="48" t="s">
        <v>255</v>
      </c>
      <c r="U77" s="53"/>
      <c r="V77" s="48" t="s">
        <v>1464</v>
      </c>
      <c r="W77" s="48">
        <v>963002100009563</v>
      </c>
      <c r="X77" s="48" t="s">
        <v>359</v>
      </c>
      <c r="Y77" s="52" t="s">
        <v>359</v>
      </c>
      <c r="Z77" s="48" t="s">
        <v>275</v>
      </c>
      <c r="AA77" s="48" t="s">
        <v>752</v>
      </c>
      <c r="AB77" s="48" t="s">
        <v>1446</v>
      </c>
      <c r="AC77" s="48" t="s">
        <v>1446</v>
      </c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48" t="s">
        <v>757</v>
      </c>
      <c r="AO77" s="48" t="s">
        <v>359</v>
      </c>
      <c r="AP77" s="48" t="s">
        <v>359</v>
      </c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48"/>
      <c r="BH77" s="51"/>
      <c r="BI77" s="51"/>
      <c r="BJ77" s="51"/>
      <c r="BK77" s="51"/>
    </row>
    <row r="78" spans="1:63" ht="23.25" customHeight="1">
      <c r="A78" s="119">
        <v>35</v>
      </c>
      <c r="B78" s="205">
        <v>78</v>
      </c>
      <c r="C78" s="64">
        <v>1</v>
      </c>
      <c r="D78" s="64" t="s">
        <v>82</v>
      </c>
      <c r="E78" s="64" t="s">
        <v>232</v>
      </c>
      <c r="F78" s="64" t="s">
        <v>352</v>
      </c>
      <c r="G78" s="64" t="s">
        <v>353</v>
      </c>
      <c r="H78" s="64">
        <v>605466093</v>
      </c>
      <c r="I78" s="86"/>
      <c r="J78" s="64" t="s">
        <v>354</v>
      </c>
      <c r="K78" s="64">
        <v>69</v>
      </c>
      <c r="L78" s="64" t="s">
        <v>355</v>
      </c>
      <c r="M78" s="64" t="s">
        <v>11</v>
      </c>
      <c r="N78" s="64">
        <v>79401</v>
      </c>
      <c r="O78" s="64" t="s">
        <v>356</v>
      </c>
      <c r="P78" s="86"/>
      <c r="Q78" s="64" t="s">
        <v>357</v>
      </c>
      <c r="R78" s="64" t="s">
        <v>358</v>
      </c>
      <c r="S78" s="64" t="s">
        <v>2</v>
      </c>
      <c r="T78" s="64" t="s">
        <v>24</v>
      </c>
      <c r="U78" s="86"/>
      <c r="V78" s="64" t="s">
        <v>1487</v>
      </c>
      <c r="W78" s="64">
        <v>900182002035395</v>
      </c>
      <c r="X78" s="64" t="s">
        <v>359</v>
      </c>
      <c r="Y78" s="65" t="s">
        <v>359</v>
      </c>
      <c r="Z78" s="64" t="s">
        <v>360</v>
      </c>
      <c r="AA78" s="64" t="s">
        <v>361</v>
      </c>
      <c r="AB78" s="64" t="s">
        <v>1488</v>
      </c>
      <c r="AC78" s="81" t="s">
        <v>1488</v>
      </c>
      <c r="AD78" s="86"/>
      <c r="AE78" s="86"/>
      <c r="AF78" s="87" t="str">
        <f>HYPERLINK("https://drive.google.com/open?id=1uo0a5tk698z4LvWbbyG4o6eBJFIV6XpZ","Potvrzeni_o_platbe_RBCZ_20210721_0000.pdf")</f>
        <v>Potvrzeni_o_platbe_RBCZ_20210721_0000.pdf</v>
      </c>
      <c r="AG78" s="86"/>
      <c r="AH78" s="86"/>
      <c r="AI78" s="87" t="str">
        <f>HYPERLINK("https://drive.google.com/open?id=1UfW7RdtIblYxUhtG_gsjRmTT5igcBOq-","Zadní strana rodokmen Xara.jpg")</f>
        <v>Zadní strana rodokmen Xara.jpg</v>
      </c>
      <c r="AJ78" s="87" t="str">
        <f>HYPERLINK("https://drive.google.com/open?id=1u_ALd2xNirs1x-Uaj5I8ti8jLtGdNcDV","Přední strana rodokmen Xara.jpg")</f>
        <v>Přední strana rodokmen Xara.jpg</v>
      </c>
      <c r="AK78" s="87" t="str">
        <f>HYPERLINK("https://drive.google.com/open?id=1uiPNHHZa1AW5cjWxVOyiD_NLELs2HqeM","Potvrzeni_o_platbe_RBCZ_20201030_0000.pdf")</f>
        <v>Potvrzeni_o_platbe_RBCZ_20201030_0000.pdf</v>
      </c>
      <c r="AL78" s="64" t="s">
        <v>4</v>
      </c>
      <c r="AM78" s="86"/>
      <c r="AN78" s="64" t="s">
        <v>362</v>
      </c>
      <c r="AO78" s="64" t="s">
        <v>359</v>
      </c>
      <c r="AP78" s="64" t="s">
        <v>359</v>
      </c>
      <c r="AQ78" s="86"/>
      <c r="AR78" s="86"/>
      <c r="AS78" s="86"/>
      <c r="AT78" s="64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64"/>
      <c r="BH78" s="64"/>
      <c r="BI78" s="64"/>
      <c r="BJ78" s="64"/>
      <c r="BK78" s="64"/>
    </row>
    <row r="79" spans="1:63" ht="25.5">
      <c r="A79" s="48">
        <v>172</v>
      </c>
      <c r="B79" s="205">
        <v>79</v>
      </c>
      <c r="C79" s="48">
        <v>1</v>
      </c>
      <c r="D79" s="48" t="s">
        <v>178</v>
      </c>
      <c r="E79" s="48" t="s">
        <v>232</v>
      </c>
      <c r="F79" s="48" t="s">
        <v>898</v>
      </c>
      <c r="G79" s="48" t="s">
        <v>1300</v>
      </c>
      <c r="H79" s="120" t="s">
        <v>1301</v>
      </c>
      <c r="I79" s="51"/>
      <c r="J79" s="48" t="s">
        <v>1302</v>
      </c>
      <c r="K79" s="48">
        <v>125</v>
      </c>
      <c r="L79" s="48" t="s">
        <v>1302</v>
      </c>
      <c r="M79" s="51"/>
      <c r="N79" s="51"/>
      <c r="O79" s="121" t="s">
        <v>1303</v>
      </c>
      <c r="P79" s="51"/>
      <c r="Q79" s="48" t="s">
        <v>1304</v>
      </c>
      <c r="R79" s="48" t="s">
        <v>358</v>
      </c>
      <c r="S79" s="48" t="s">
        <v>2</v>
      </c>
      <c r="T79" s="48" t="s">
        <v>255</v>
      </c>
      <c r="U79" s="51"/>
      <c r="V79" s="48" t="s">
        <v>1468</v>
      </c>
      <c r="W79" s="120">
        <v>900182002036544</v>
      </c>
      <c r="X79" s="48" t="s">
        <v>359</v>
      </c>
      <c r="Y79" s="52" t="s">
        <v>359</v>
      </c>
      <c r="Z79" s="48" t="s">
        <v>378</v>
      </c>
      <c r="AA79" s="120" t="s">
        <v>1305</v>
      </c>
      <c r="AB79" s="81" t="s">
        <v>1488</v>
      </c>
      <c r="AC79" s="48" t="s">
        <v>1489</v>
      </c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120" t="s">
        <v>1306</v>
      </c>
      <c r="AO79" s="48" t="s">
        <v>359</v>
      </c>
      <c r="AP79" s="48" t="s">
        <v>359</v>
      </c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</row>
    <row r="80" spans="1:63" ht="23.25" customHeight="1">
      <c r="A80" s="119">
        <v>39</v>
      </c>
      <c r="B80" s="205">
        <v>80</v>
      </c>
      <c r="C80" s="64">
        <v>1</v>
      </c>
      <c r="D80" s="64" t="s">
        <v>82</v>
      </c>
      <c r="E80" s="64" t="s">
        <v>232</v>
      </c>
      <c r="F80" s="64" t="s">
        <v>352</v>
      </c>
      <c r="G80" s="64" t="s">
        <v>363</v>
      </c>
      <c r="H80" s="64">
        <v>605466093</v>
      </c>
      <c r="I80" s="86"/>
      <c r="J80" s="64" t="s">
        <v>354</v>
      </c>
      <c r="K80" s="64">
        <v>69</v>
      </c>
      <c r="L80" s="64" t="s">
        <v>355</v>
      </c>
      <c r="M80" s="64" t="s">
        <v>11</v>
      </c>
      <c r="N80" s="64">
        <v>79401</v>
      </c>
      <c r="O80" s="64" t="s">
        <v>356</v>
      </c>
      <c r="P80" s="86"/>
      <c r="Q80" s="64" t="s">
        <v>381</v>
      </c>
      <c r="R80" s="64" t="s">
        <v>358</v>
      </c>
      <c r="S80" s="64" t="s">
        <v>2</v>
      </c>
      <c r="T80" s="64" t="s">
        <v>24</v>
      </c>
      <c r="U80" s="86"/>
      <c r="V80" s="64" t="s">
        <v>1478</v>
      </c>
      <c r="W80" s="64">
        <v>900182002036596</v>
      </c>
      <c r="X80" s="64" t="s">
        <v>359</v>
      </c>
      <c r="Y80" s="65" t="s">
        <v>359</v>
      </c>
      <c r="Z80" s="64" t="s">
        <v>382</v>
      </c>
      <c r="AA80" s="64" t="s">
        <v>361</v>
      </c>
      <c r="AB80" s="81" t="s">
        <v>1488</v>
      </c>
      <c r="AC80" s="81" t="s">
        <v>1488</v>
      </c>
      <c r="AD80" s="86"/>
      <c r="AE80" s="86"/>
      <c r="AF80" s="87" t="str">
        <f>HYPERLINK("https://drive.google.com/open?id=1dqNfrThwNrSyMMxq5kBkd5zkgshBymhE","Potvrzeni_o_platbe_RBCZ_20210721_0000.pdf")</f>
        <v>Potvrzeni_o_platbe_RBCZ_20210721_0000.pdf</v>
      </c>
      <c r="AG80" s="86"/>
      <c r="AH80" s="86"/>
      <c r="AI80" s="87" t="str">
        <f>HYPERLINK("https://drive.google.com/open?id=1StcjMy6pfgg_vdnOTvqwClKzzHQ9PaLY","Zerie PSPP.png")</f>
        <v>Zerie PSPP.png</v>
      </c>
      <c r="AJ80" s="87" t="str">
        <f>HYPERLINK("https://drive.google.com/open?id=1fxKao52F7e9zT4juhNuXpanlc8cqODBc","Zerie ZSPP.png")</f>
        <v>Zerie ZSPP.png</v>
      </c>
      <c r="AK80" s="87" t="str">
        <f>HYPERLINK("https://drive.google.com/open?id=1Rd7FZ7sWRA_VIrD714ToLOOUFFRgWnpd","Potvrzeni_o_platbe_RBCZ_20201030_0000.pdf")</f>
        <v>Potvrzeni_o_platbe_RBCZ_20201030_0000.pdf</v>
      </c>
      <c r="AL80" s="64" t="s">
        <v>4</v>
      </c>
      <c r="AM80" s="86"/>
      <c r="AN80" s="64" t="s">
        <v>383</v>
      </c>
      <c r="AO80" s="64" t="s">
        <v>359</v>
      </c>
      <c r="AP80" s="64" t="s">
        <v>359</v>
      </c>
      <c r="AQ80" s="86"/>
      <c r="AR80" s="86"/>
      <c r="AS80" s="86"/>
      <c r="AT80" s="64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64"/>
      <c r="BH80" s="64"/>
      <c r="BI80" s="64"/>
      <c r="BJ80" s="64"/>
      <c r="BK80" s="64"/>
    </row>
    <row r="81" spans="1:63" ht="23.25" customHeight="1">
      <c r="A81" s="42">
        <v>131</v>
      </c>
      <c r="B81" s="205">
        <v>81</v>
      </c>
      <c r="C81" s="44">
        <v>1</v>
      </c>
      <c r="D81" s="44" t="s">
        <v>82</v>
      </c>
      <c r="E81" s="44" t="s">
        <v>454</v>
      </c>
      <c r="F81" s="44" t="s">
        <v>6</v>
      </c>
      <c r="G81" s="44" t="s">
        <v>628</v>
      </c>
      <c r="H81" s="44">
        <v>606741459</v>
      </c>
      <c r="I81" s="45"/>
      <c r="J81" s="44" t="s">
        <v>1031</v>
      </c>
      <c r="K81" s="44" t="s">
        <v>1032</v>
      </c>
      <c r="L81" s="44" t="s">
        <v>631</v>
      </c>
      <c r="M81" s="44" t="s">
        <v>1</v>
      </c>
      <c r="N81" s="44" t="s">
        <v>632</v>
      </c>
      <c r="O81" s="44" t="s">
        <v>633</v>
      </c>
      <c r="P81" s="45"/>
      <c r="Q81" s="44" t="s">
        <v>1033</v>
      </c>
      <c r="R81" s="44" t="s">
        <v>1034</v>
      </c>
      <c r="S81" s="44" t="s">
        <v>2</v>
      </c>
      <c r="T81" s="44" t="s">
        <v>37</v>
      </c>
      <c r="U81" s="45"/>
      <c r="V81" s="44" t="s">
        <v>1491</v>
      </c>
      <c r="W81" s="44">
        <v>203164000095486</v>
      </c>
      <c r="X81" s="44" t="s">
        <v>359</v>
      </c>
      <c r="Y81" s="46" t="s">
        <v>359</v>
      </c>
      <c r="Z81" s="44" t="s">
        <v>1035</v>
      </c>
      <c r="AA81" s="44" t="s">
        <v>1036</v>
      </c>
      <c r="AB81" s="44" t="s">
        <v>1492</v>
      </c>
      <c r="AC81" s="44" t="s">
        <v>1492</v>
      </c>
      <c r="AD81" s="45"/>
      <c r="AE81" s="45"/>
      <c r="AF81" s="68" t="str">
        <f>HYPERLINK("https://drive.google.com/open?id=1xuPzZTtkzYyJIXS6yNQTMcoE-Moyd3Me","export_20210731_1650.pdf")</f>
        <v>export_20210731_1650.pdf</v>
      </c>
      <c r="AG81" s="45"/>
      <c r="AH81" s="45"/>
      <c r="AI81" s="68" t="str">
        <f>HYPERLINK("https://drive.google.com/open?id=1E1JiLuAymJ1-ApsksHZ8690tIves_dl1","export_20210731_1650.pdf")</f>
        <v>export_20210731_1650.pdf</v>
      </c>
      <c r="AJ81" s="45"/>
      <c r="AK81" s="45"/>
      <c r="AL81" s="44" t="s">
        <v>4</v>
      </c>
      <c r="AM81" s="45"/>
      <c r="AN81" s="44" t="s">
        <v>1037</v>
      </c>
      <c r="AO81" s="44" t="s">
        <v>359</v>
      </c>
      <c r="AP81" s="44" t="s">
        <v>359</v>
      </c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</row>
    <row r="82" spans="1:63" ht="23.25" customHeight="1">
      <c r="A82" s="31">
        <v>85</v>
      </c>
      <c r="B82" s="205">
        <v>82</v>
      </c>
      <c r="C82" s="48">
        <v>1</v>
      </c>
      <c r="D82" s="48" t="s">
        <v>178</v>
      </c>
      <c r="E82" s="48" t="s">
        <v>454</v>
      </c>
      <c r="F82" s="48" t="s">
        <v>192</v>
      </c>
      <c r="G82" s="48" t="s">
        <v>721</v>
      </c>
      <c r="H82" s="48">
        <v>605278522</v>
      </c>
      <c r="I82" s="53"/>
      <c r="J82" s="48" t="s">
        <v>27</v>
      </c>
      <c r="K82" s="48">
        <v>762</v>
      </c>
      <c r="L82" s="48" t="s">
        <v>28</v>
      </c>
      <c r="M82" s="48" t="s">
        <v>1</v>
      </c>
      <c r="N82" s="48">
        <v>43111</v>
      </c>
      <c r="O82" s="48" t="s">
        <v>722</v>
      </c>
      <c r="P82" s="53"/>
      <c r="Q82" s="48" t="s">
        <v>723</v>
      </c>
      <c r="R82" s="48" t="s">
        <v>617</v>
      </c>
      <c r="S82" s="48" t="s">
        <v>2</v>
      </c>
      <c r="T82" s="48" t="s">
        <v>704</v>
      </c>
      <c r="U82" s="53"/>
      <c r="V82" s="48" t="s">
        <v>1474</v>
      </c>
      <c r="W82" s="48" t="s">
        <v>724</v>
      </c>
      <c r="X82" s="48" t="s">
        <v>359</v>
      </c>
      <c r="Y82" s="52" t="s">
        <v>359</v>
      </c>
      <c r="Z82" s="48" t="s">
        <v>618</v>
      </c>
      <c r="AA82" s="48" t="s">
        <v>725</v>
      </c>
      <c r="AB82" s="48" t="s">
        <v>1475</v>
      </c>
      <c r="AC82" s="48" t="s">
        <v>1475</v>
      </c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48" t="s">
        <v>726</v>
      </c>
      <c r="AO82" s="48" t="s">
        <v>359</v>
      </c>
      <c r="AP82" s="48" t="s">
        <v>359</v>
      </c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48"/>
      <c r="BH82" s="51"/>
      <c r="BI82" s="51"/>
      <c r="BJ82" s="51"/>
      <c r="BK82" s="51"/>
    </row>
    <row r="83" spans="1:63" ht="23.25" customHeight="1">
      <c r="A83" s="62">
        <v>23</v>
      </c>
      <c r="B83" s="205">
        <v>83</v>
      </c>
      <c r="C83" s="64">
        <v>1</v>
      </c>
      <c r="D83" s="64" t="s">
        <v>263</v>
      </c>
      <c r="E83" s="64" t="s">
        <v>232</v>
      </c>
      <c r="F83" s="64" t="s">
        <v>100</v>
      </c>
      <c r="G83" s="64" t="s">
        <v>251</v>
      </c>
      <c r="H83" s="64" t="s">
        <v>252</v>
      </c>
      <c r="I83" s="64"/>
      <c r="J83" s="64" t="s">
        <v>253</v>
      </c>
      <c r="K83" s="64">
        <v>35</v>
      </c>
      <c r="L83" s="64" t="s">
        <v>15</v>
      </c>
      <c r="M83" s="64" t="s">
        <v>17</v>
      </c>
      <c r="N83" s="64"/>
      <c r="O83" s="64"/>
      <c r="P83" s="64"/>
      <c r="Q83" s="64" t="s">
        <v>264</v>
      </c>
      <c r="R83" s="64" t="s">
        <v>261</v>
      </c>
      <c r="S83" s="64" t="s">
        <v>2</v>
      </c>
      <c r="T83" s="64" t="s">
        <v>255</v>
      </c>
      <c r="U83" s="64"/>
      <c r="V83" s="64" t="s">
        <v>1411</v>
      </c>
      <c r="W83" s="64">
        <v>956000007378441</v>
      </c>
      <c r="X83" s="64" t="s">
        <v>359</v>
      </c>
      <c r="Y83" s="65" t="s">
        <v>359</v>
      </c>
      <c r="Z83" s="64" t="s">
        <v>256</v>
      </c>
      <c r="AA83" s="64" t="s">
        <v>262</v>
      </c>
      <c r="AB83" s="64" t="s">
        <v>1412</v>
      </c>
      <c r="AC83" s="64" t="s">
        <v>1412</v>
      </c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 t="s">
        <v>359</v>
      </c>
      <c r="AP83" s="64" t="s">
        <v>359</v>
      </c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</row>
    <row r="84" spans="1:63" ht="23.25" customHeight="1">
      <c r="A84" s="31">
        <v>77</v>
      </c>
      <c r="B84" s="205">
        <v>84</v>
      </c>
      <c r="C84" s="33">
        <v>1</v>
      </c>
      <c r="D84" s="33" t="s">
        <v>263</v>
      </c>
      <c r="E84" s="33" t="s">
        <v>232</v>
      </c>
      <c r="F84" s="33" t="s">
        <v>10</v>
      </c>
      <c r="G84" s="33" t="s">
        <v>657</v>
      </c>
      <c r="H84" s="33">
        <v>603505236</v>
      </c>
      <c r="I84" s="34"/>
      <c r="J84" s="33" t="s">
        <v>658</v>
      </c>
      <c r="K84" s="33">
        <v>670</v>
      </c>
      <c r="L84" s="33" t="s">
        <v>658</v>
      </c>
      <c r="M84" s="33" t="s">
        <v>1</v>
      </c>
      <c r="N84" s="33">
        <v>73943</v>
      </c>
      <c r="O84" s="33" t="s">
        <v>659</v>
      </c>
      <c r="P84" s="34"/>
      <c r="Q84" s="33" t="s">
        <v>668</v>
      </c>
      <c r="R84" s="33" t="s">
        <v>661</v>
      </c>
      <c r="S84" s="33" t="s">
        <v>2</v>
      </c>
      <c r="T84" s="33" t="s">
        <v>255</v>
      </c>
      <c r="U84" s="34"/>
      <c r="V84" s="33" t="s">
        <v>1410</v>
      </c>
      <c r="W84" s="33">
        <v>941000025000187</v>
      </c>
      <c r="X84" s="33" t="s">
        <v>359</v>
      </c>
      <c r="Y84" s="35" t="s">
        <v>359</v>
      </c>
      <c r="Z84" s="33" t="s">
        <v>662</v>
      </c>
      <c r="AA84" s="33" t="s">
        <v>669</v>
      </c>
      <c r="AB84" s="33" t="s">
        <v>759</v>
      </c>
      <c r="AC84" s="33" t="s">
        <v>759</v>
      </c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66" t="s">
        <v>670</v>
      </c>
      <c r="AO84" s="33" t="s">
        <v>359</v>
      </c>
      <c r="AP84" s="33" t="s">
        <v>359</v>
      </c>
      <c r="AQ84" s="34"/>
      <c r="AR84" s="34"/>
      <c r="AS84" s="34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3"/>
      <c r="BH84" s="37"/>
      <c r="BI84" s="37"/>
      <c r="BJ84" s="37"/>
      <c r="BK84" s="37"/>
    </row>
    <row r="85" spans="1:63" ht="23.25" customHeight="1">
      <c r="A85" s="42">
        <v>86</v>
      </c>
      <c r="B85" s="205">
        <v>85</v>
      </c>
      <c r="C85" s="44">
        <v>1</v>
      </c>
      <c r="D85" s="44" t="s">
        <v>263</v>
      </c>
      <c r="E85" s="44" t="s">
        <v>232</v>
      </c>
      <c r="F85" s="44" t="s">
        <v>18</v>
      </c>
      <c r="G85" s="44" t="s">
        <v>727</v>
      </c>
      <c r="H85" s="44">
        <v>728474436</v>
      </c>
      <c r="I85" s="50"/>
      <c r="J85" s="44" t="s">
        <v>728</v>
      </c>
      <c r="K85" s="44">
        <v>337</v>
      </c>
      <c r="L85" s="44" t="s">
        <v>729</v>
      </c>
      <c r="M85" s="44" t="s">
        <v>1</v>
      </c>
      <c r="N85" s="44">
        <v>34561</v>
      </c>
      <c r="O85" s="50"/>
      <c r="P85" s="50"/>
      <c r="Q85" s="44" t="s">
        <v>730</v>
      </c>
      <c r="R85" s="44" t="s">
        <v>560</v>
      </c>
      <c r="S85" s="44" t="s">
        <v>2</v>
      </c>
      <c r="T85" s="44" t="s">
        <v>255</v>
      </c>
      <c r="U85" s="50"/>
      <c r="V85" s="44" t="s">
        <v>1430</v>
      </c>
      <c r="W85" s="44">
        <v>203164000045470</v>
      </c>
      <c r="X85" s="44" t="s">
        <v>359</v>
      </c>
      <c r="Y85" s="46" t="s">
        <v>359</v>
      </c>
      <c r="Z85" s="44" t="s">
        <v>731</v>
      </c>
      <c r="AA85" s="44" t="s">
        <v>732</v>
      </c>
      <c r="AB85" s="44" t="s">
        <v>1431</v>
      </c>
      <c r="AC85" s="44" t="s">
        <v>1431</v>
      </c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44" t="s">
        <v>733</v>
      </c>
      <c r="AO85" s="44" t="s">
        <v>359</v>
      </c>
      <c r="AP85" s="44" t="s">
        <v>359</v>
      </c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44"/>
      <c r="BH85" s="45"/>
      <c r="BI85" s="45"/>
      <c r="BJ85" s="45"/>
      <c r="BK85" s="45"/>
    </row>
    <row r="86" spans="1:63" ht="23.25" customHeight="1">
      <c r="A86" s="42">
        <v>166</v>
      </c>
      <c r="B86" s="205">
        <v>86</v>
      </c>
      <c r="C86" s="44">
        <v>1</v>
      </c>
      <c r="D86" s="44" t="s">
        <v>263</v>
      </c>
      <c r="E86" s="44" t="s">
        <v>232</v>
      </c>
      <c r="F86" s="44" t="s">
        <v>67</v>
      </c>
      <c r="G86" s="44" t="s">
        <v>1213</v>
      </c>
      <c r="H86" s="44">
        <v>605589369</v>
      </c>
      <c r="I86" s="45"/>
      <c r="J86" s="44" t="s">
        <v>1214</v>
      </c>
      <c r="K86" s="44">
        <v>2826</v>
      </c>
      <c r="L86" s="44" t="s">
        <v>1215</v>
      </c>
      <c r="M86" s="45"/>
      <c r="N86" s="44">
        <v>39005</v>
      </c>
      <c r="O86" s="44" t="s">
        <v>1216</v>
      </c>
      <c r="P86" s="45"/>
      <c r="Q86" s="44" t="s">
        <v>61</v>
      </c>
      <c r="R86" s="44" t="s">
        <v>1236</v>
      </c>
      <c r="S86" s="44" t="s">
        <v>2</v>
      </c>
      <c r="T86" s="44" t="s">
        <v>704</v>
      </c>
      <c r="U86" s="45"/>
      <c r="V86" s="44" t="s">
        <v>1413</v>
      </c>
      <c r="W86" s="44">
        <v>981189900129406</v>
      </c>
      <c r="X86" s="44" t="s">
        <v>359</v>
      </c>
      <c r="Y86" s="46" t="s">
        <v>359</v>
      </c>
      <c r="Z86" s="44" t="s">
        <v>1237</v>
      </c>
      <c r="AA86" s="44" t="s">
        <v>943</v>
      </c>
      <c r="AB86" s="44" t="s">
        <v>1414</v>
      </c>
      <c r="AC86" s="44" t="s">
        <v>1223</v>
      </c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4" t="s">
        <v>1432</v>
      </c>
      <c r="AO86" s="44" t="s">
        <v>359</v>
      </c>
      <c r="AP86" s="44" t="s">
        <v>359</v>
      </c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</row>
    <row r="87" spans="1:63" ht="23.25" customHeight="1">
      <c r="A87" s="42">
        <v>134</v>
      </c>
      <c r="B87" s="205">
        <v>87</v>
      </c>
      <c r="C87" s="44">
        <v>1</v>
      </c>
      <c r="D87" s="44" t="s">
        <v>68</v>
      </c>
      <c r="E87" s="44" t="s">
        <v>232</v>
      </c>
      <c r="F87" s="44" t="s">
        <v>1054</v>
      </c>
      <c r="G87" s="44" t="s">
        <v>1055</v>
      </c>
      <c r="H87" s="44">
        <v>603263663</v>
      </c>
      <c r="I87" s="45"/>
      <c r="J87" s="44" t="s">
        <v>1056</v>
      </c>
      <c r="K87" s="44">
        <v>5</v>
      </c>
      <c r="L87" s="44" t="s">
        <v>1057</v>
      </c>
      <c r="M87" s="44" t="s">
        <v>1058</v>
      </c>
      <c r="N87" s="44" t="s">
        <v>1059</v>
      </c>
      <c r="O87" s="44" t="s">
        <v>1060</v>
      </c>
      <c r="P87" s="45"/>
      <c r="Q87" s="44" t="s">
        <v>1061</v>
      </c>
      <c r="R87" s="44" t="s">
        <v>1062</v>
      </c>
      <c r="S87" s="44" t="s">
        <v>2</v>
      </c>
      <c r="T87" s="44" t="s">
        <v>24</v>
      </c>
      <c r="U87" s="45"/>
      <c r="V87" s="44" t="s">
        <v>1433</v>
      </c>
      <c r="W87" s="44">
        <v>981020000775222</v>
      </c>
      <c r="X87" s="44" t="s">
        <v>359</v>
      </c>
      <c r="Y87" s="46" t="s">
        <v>359</v>
      </c>
      <c r="Z87" s="44" t="s">
        <v>1063</v>
      </c>
      <c r="AA87" s="44" t="s">
        <v>1064</v>
      </c>
      <c r="AB87" s="44" t="s">
        <v>1434</v>
      </c>
      <c r="AC87" s="44" t="s">
        <v>1434</v>
      </c>
      <c r="AD87" s="45"/>
      <c r="AE87" s="45"/>
      <c r="AF87" s="68" t="str">
        <f>HYPERLINK("https://drive.google.com/open?id=1Gjg5gncNu2kfFjPLS4Q_iZ-a36mjR7Zg","16278344550534922025241498847918.jpg")</f>
        <v>16278344550534922025241498847918.jpg</v>
      </c>
      <c r="AG87" s="45"/>
      <c r="AH87" s="45"/>
      <c r="AI87" s="68" t="str">
        <f>HYPERLINK("https://drive.google.com/open?id=1C6mCfov50jUFYIhyh4IFtn6RFx4tvtHT","1627834654214274556065430115932.jpg")</f>
        <v>1627834654214274556065430115932.jpg</v>
      </c>
      <c r="AJ87" s="45"/>
      <c r="AK87" s="45"/>
      <c r="AL87" s="44" t="s">
        <v>4</v>
      </c>
      <c r="AM87" s="45"/>
      <c r="AN87" s="48" t="s">
        <v>1065</v>
      </c>
      <c r="AO87" s="44" t="s">
        <v>359</v>
      </c>
      <c r="AP87" s="44" t="s">
        <v>359</v>
      </c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</row>
    <row r="88" spans="1:63" ht="23.25" customHeight="1">
      <c r="A88" s="42">
        <v>162</v>
      </c>
      <c r="B88" s="205">
        <v>88</v>
      </c>
      <c r="C88" s="44">
        <v>1</v>
      </c>
      <c r="D88" s="44" t="s">
        <v>263</v>
      </c>
      <c r="E88" s="44" t="s">
        <v>232</v>
      </c>
      <c r="F88" s="44" t="s">
        <v>67</v>
      </c>
      <c r="G88" s="44" t="s">
        <v>1213</v>
      </c>
      <c r="H88" s="44">
        <v>605589369</v>
      </c>
      <c r="I88" s="45"/>
      <c r="J88" s="44" t="s">
        <v>1214</v>
      </c>
      <c r="K88" s="44">
        <v>2826</v>
      </c>
      <c r="L88" s="44" t="s">
        <v>1215</v>
      </c>
      <c r="M88" s="45"/>
      <c r="N88" s="44">
        <v>39005</v>
      </c>
      <c r="O88" s="44" t="s">
        <v>1216</v>
      </c>
      <c r="P88" s="45"/>
      <c r="Q88" s="44" t="s">
        <v>1239</v>
      </c>
      <c r="R88" s="44" t="s">
        <v>1218</v>
      </c>
      <c r="S88" s="44" t="s">
        <v>2</v>
      </c>
      <c r="T88" s="44" t="s">
        <v>255</v>
      </c>
      <c r="U88" s="45"/>
      <c r="V88" s="44" t="s">
        <v>1435</v>
      </c>
      <c r="W88" s="44" t="s">
        <v>1240</v>
      </c>
      <c r="X88" s="44" t="s">
        <v>359</v>
      </c>
      <c r="Y88" s="46" t="s">
        <v>359</v>
      </c>
      <c r="Z88" s="44" t="s">
        <v>1241</v>
      </c>
      <c r="AA88" s="44" t="s">
        <v>1228</v>
      </c>
      <c r="AB88" s="44" t="s">
        <v>1223</v>
      </c>
      <c r="AC88" s="44" t="s">
        <v>1223</v>
      </c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4" t="s">
        <v>1242</v>
      </c>
      <c r="AO88" s="44" t="s">
        <v>359</v>
      </c>
      <c r="AP88" s="44" t="s">
        <v>359</v>
      </c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</row>
    <row r="89" spans="1:63" ht="23.25" customHeight="1">
      <c r="A89" s="69">
        <v>50</v>
      </c>
      <c r="B89" s="205">
        <v>89</v>
      </c>
      <c r="C89" s="71">
        <v>1</v>
      </c>
      <c r="D89" s="71" t="s">
        <v>416</v>
      </c>
      <c r="E89" s="71" t="s">
        <v>232</v>
      </c>
      <c r="F89" s="71" t="s">
        <v>422</v>
      </c>
      <c r="G89" s="71" t="s">
        <v>423</v>
      </c>
      <c r="H89" s="72" t="s">
        <v>424</v>
      </c>
      <c r="I89" s="73"/>
      <c r="J89" s="71" t="s">
        <v>425</v>
      </c>
      <c r="K89" s="71">
        <v>93</v>
      </c>
      <c r="L89" s="71" t="s">
        <v>425</v>
      </c>
      <c r="M89" s="71" t="s">
        <v>426</v>
      </c>
      <c r="N89" s="73"/>
      <c r="O89" s="71" t="s">
        <v>427</v>
      </c>
      <c r="P89" s="73"/>
      <c r="Q89" s="71" t="s">
        <v>451</v>
      </c>
      <c r="R89" s="71" t="s">
        <v>433</v>
      </c>
      <c r="S89" s="71" t="s">
        <v>2</v>
      </c>
      <c r="T89" s="71" t="s">
        <v>255</v>
      </c>
      <c r="U89" s="73"/>
      <c r="V89" s="71" t="s">
        <v>1436</v>
      </c>
      <c r="W89" s="71" t="s">
        <v>452</v>
      </c>
      <c r="X89" s="71" t="s">
        <v>359</v>
      </c>
      <c r="Y89" s="72" t="s">
        <v>359</v>
      </c>
      <c r="Z89" s="71" t="s">
        <v>453</v>
      </c>
      <c r="AA89" s="71" t="s">
        <v>447</v>
      </c>
      <c r="AB89" s="71" t="s">
        <v>1437</v>
      </c>
      <c r="AC89" s="71" t="s">
        <v>1437</v>
      </c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1" t="s">
        <v>359</v>
      </c>
      <c r="AP89" s="71" t="s">
        <v>359</v>
      </c>
      <c r="AQ89" s="73"/>
      <c r="AR89" s="73"/>
      <c r="AS89" s="73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1"/>
      <c r="BH89" s="75"/>
      <c r="BI89" s="75"/>
      <c r="BJ89" s="75"/>
      <c r="BK89" s="75"/>
    </row>
    <row r="90" spans="1:63" ht="23.25" customHeight="1">
      <c r="A90" s="69">
        <v>44</v>
      </c>
      <c r="B90" s="205">
        <v>90</v>
      </c>
      <c r="C90" s="44">
        <v>1</v>
      </c>
      <c r="D90" s="44" t="s">
        <v>416</v>
      </c>
      <c r="E90" s="44" t="s">
        <v>232</v>
      </c>
      <c r="F90" s="44" t="s">
        <v>407</v>
      </c>
      <c r="G90" s="44" t="s">
        <v>408</v>
      </c>
      <c r="H90" s="44" t="s">
        <v>409</v>
      </c>
      <c r="I90" s="49"/>
      <c r="J90" s="44" t="s">
        <v>410</v>
      </c>
      <c r="K90" s="44">
        <v>37</v>
      </c>
      <c r="L90" s="44" t="s">
        <v>15</v>
      </c>
      <c r="M90" s="44" t="s">
        <v>1</v>
      </c>
      <c r="N90" s="44">
        <v>58601</v>
      </c>
      <c r="O90" s="44" t="s">
        <v>411</v>
      </c>
      <c r="P90" s="49"/>
      <c r="Q90" s="44" t="s">
        <v>417</v>
      </c>
      <c r="R90" s="44" t="s">
        <v>418</v>
      </c>
      <c r="S90" s="44" t="s">
        <v>2</v>
      </c>
      <c r="T90" s="44" t="s">
        <v>255</v>
      </c>
      <c r="U90" s="49"/>
      <c r="V90" s="44" t="s">
        <v>1438</v>
      </c>
      <c r="W90" s="44">
        <v>953010004658885</v>
      </c>
      <c r="X90" s="44" t="s">
        <v>359</v>
      </c>
      <c r="Y90" s="46" t="s">
        <v>359</v>
      </c>
      <c r="Z90" s="44" t="s">
        <v>419</v>
      </c>
      <c r="AA90" s="44" t="s">
        <v>420</v>
      </c>
      <c r="AB90" s="44" t="s">
        <v>1439</v>
      </c>
      <c r="AC90" s="44" t="s">
        <v>1439</v>
      </c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4" t="s">
        <v>359</v>
      </c>
      <c r="AP90" s="44" t="s">
        <v>359</v>
      </c>
      <c r="AQ90" s="49"/>
      <c r="AR90" s="49"/>
      <c r="AS90" s="49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44"/>
      <c r="BH90" s="44"/>
      <c r="BI90" s="44"/>
      <c r="BJ90" s="44"/>
      <c r="BK90" s="44"/>
    </row>
    <row r="91" spans="1:63" ht="23.25" customHeight="1">
      <c r="A91" s="31">
        <v>135</v>
      </c>
      <c r="B91" s="205">
        <v>91</v>
      </c>
      <c r="C91" s="48">
        <v>1</v>
      </c>
      <c r="D91" s="48" t="s">
        <v>68</v>
      </c>
      <c r="E91" s="48" t="s">
        <v>232</v>
      </c>
      <c r="F91" s="48" t="s">
        <v>55</v>
      </c>
      <c r="G91" s="48" t="s">
        <v>1066</v>
      </c>
      <c r="H91" s="54" t="s">
        <v>1067</v>
      </c>
      <c r="I91" s="51"/>
      <c r="J91" s="48" t="s">
        <v>1068</v>
      </c>
      <c r="K91" s="48">
        <v>19</v>
      </c>
      <c r="L91" s="48" t="s">
        <v>1069</v>
      </c>
      <c r="M91" s="48" t="s">
        <v>1070</v>
      </c>
      <c r="N91" s="48">
        <v>33141</v>
      </c>
      <c r="O91" s="48" t="s">
        <v>1071</v>
      </c>
      <c r="P91" s="51"/>
      <c r="Q91" s="48" t="s">
        <v>1072</v>
      </c>
      <c r="R91" s="48" t="s">
        <v>1073</v>
      </c>
      <c r="S91" s="48" t="s">
        <v>2</v>
      </c>
      <c r="T91" s="48" t="s">
        <v>24</v>
      </c>
      <c r="U91" s="51"/>
      <c r="V91" s="48" t="s">
        <v>1415</v>
      </c>
      <c r="W91" s="48">
        <v>953010004647993</v>
      </c>
      <c r="X91" s="48" t="s">
        <v>359</v>
      </c>
      <c r="Y91" s="52" t="s">
        <v>359</v>
      </c>
      <c r="Z91" s="48" t="s">
        <v>338</v>
      </c>
      <c r="AA91" s="48" t="s">
        <v>339</v>
      </c>
      <c r="AB91" s="48" t="s">
        <v>1173</v>
      </c>
      <c r="AC91" s="48" t="s">
        <v>1173</v>
      </c>
      <c r="AD91" s="51"/>
      <c r="AE91" s="55" t="str">
        <f>HYPERLINK("https://drive.google.com/open?id=1RQp7cIdZOuWqnaDLzPjuo16VyUx32ror","DSC_7437.JPG")</f>
        <v>DSC_7437.JPG</v>
      </c>
      <c r="AF91" s="55" t="str">
        <f>HYPERLINK("https://drive.google.com/open?id=129fpumaJSwtq0ECcvx8mX4UBQw38Rv_b","Transakce_2000006828944121.pdf")</f>
        <v>Transakce_2000006828944121.pdf</v>
      </c>
      <c r="AG91" s="55" t="str">
        <f>HYPERLINK("https://drive.google.com/open?id=1YjYpgGNiH78ui2Fn_Y66wejAC5ejyQ-U","Grant´s.jpg")</f>
        <v>Grant´s.jpg</v>
      </c>
      <c r="AH91" s="55" t="str">
        <f>HYPERLINK("https://drive.google.com/open?id=1PAK05QbcxZ9J4puUWvQzA1L1L91zxizi","Grant´s.jpg")</f>
        <v>Grant´s.jpg</v>
      </c>
      <c r="AI91" s="55" t="str">
        <f>HYPERLINK("https://drive.google.com/open?id=1kky9_UY-sjtFwGen8iKwItExLgC_6rAl","Grant´s.jpg")</f>
        <v>Grant´s.jpg</v>
      </c>
      <c r="AJ91" s="51"/>
      <c r="AK91" s="55" t="str">
        <f>HYPERLINK("https://drive.google.com/open?id=1sT17vVAtfmPUE3Qz-7J3GYNh9GFDIoas","Grant´s.jpg")</f>
        <v>Grant´s.jpg</v>
      </c>
      <c r="AL91" s="48" t="s">
        <v>4</v>
      </c>
      <c r="AM91" s="51"/>
      <c r="AN91" s="48" t="s">
        <v>1074</v>
      </c>
      <c r="AO91" s="48" t="s">
        <v>359</v>
      </c>
      <c r="AP91" s="48" t="s">
        <v>359</v>
      </c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</row>
    <row r="92" spans="1:63" ht="23.25" customHeight="1">
      <c r="A92" s="31">
        <v>120</v>
      </c>
      <c r="B92" s="205">
        <v>92</v>
      </c>
      <c r="C92" s="48">
        <v>1</v>
      </c>
      <c r="D92" s="48" t="s">
        <v>263</v>
      </c>
      <c r="E92" s="48" t="s">
        <v>232</v>
      </c>
      <c r="F92" s="48" t="s">
        <v>698</v>
      </c>
      <c r="G92" s="48" t="s">
        <v>930</v>
      </c>
      <c r="H92" s="48">
        <v>777240126</v>
      </c>
      <c r="I92" s="51"/>
      <c r="J92" s="48" t="s">
        <v>931</v>
      </c>
      <c r="K92" s="48">
        <v>214</v>
      </c>
      <c r="L92" s="48" t="s">
        <v>932</v>
      </c>
      <c r="M92" s="48" t="s">
        <v>1</v>
      </c>
      <c r="N92" s="48">
        <v>27306</v>
      </c>
      <c r="O92" s="48" t="s">
        <v>933</v>
      </c>
      <c r="P92" s="51"/>
      <c r="Q92" s="48" t="s">
        <v>941</v>
      </c>
      <c r="R92" s="48" t="s">
        <v>591</v>
      </c>
      <c r="S92" s="48" t="s">
        <v>2</v>
      </c>
      <c r="T92" s="48" t="s">
        <v>255</v>
      </c>
      <c r="U92" s="51"/>
      <c r="V92" s="48" t="s">
        <v>1440</v>
      </c>
      <c r="W92" s="48">
        <v>981020000775320</v>
      </c>
      <c r="X92" s="48" t="s">
        <v>359</v>
      </c>
      <c r="Y92" s="52" t="s">
        <v>359</v>
      </c>
      <c r="Z92" s="48" t="s">
        <v>942</v>
      </c>
      <c r="AA92" s="48" t="s">
        <v>943</v>
      </c>
      <c r="AB92" s="48" t="s">
        <v>1441</v>
      </c>
      <c r="AC92" s="48" t="s">
        <v>1441</v>
      </c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48" t="s">
        <v>944</v>
      </c>
      <c r="AO92" s="48" t="s">
        <v>359</v>
      </c>
      <c r="AP92" s="48" t="s">
        <v>359</v>
      </c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</row>
    <row r="93" spans="1:63" ht="23.25" customHeight="1">
      <c r="A93" s="31">
        <v>164</v>
      </c>
      <c r="B93" s="205">
        <v>93</v>
      </c>
      <c r="C93" s="48">
        <v>1</v>
      </c>
      <c r="D93" s="48" t="s">
        <v>263</v>
      </c>
      <c r="E93" s="48" t="s">
        <v>232</v>
      </c>
      <c r="F93" s="48" t="s">
        <v>67</v>
      </c>
      <c r="G93" s="48" t="s">
        <v>1213</v>
      </c>
      <c r="H93" s="48">
        <v>605589369</v>
      </c>
      <c r="I93" s="51"/>
      <c r="J93" s="48" t="s">
        <v>1214</v>
      </c>
      <c r="K93" s="48">
        <v>2826</v>
      </c>
      <c r="L93" s="48" t="s">
        <v>1215</v>
      </c>
      <c r="M93" s="51"/>
      <c r="N93" s="48">
        <v>39005</v>
      </c>
      <c r="O93" s="48" t="s">
        <v>1216</v>
      </c>
      <c r="P93" s="51"/>
      <c r="Q93" s="48" t="s">
        <v>1244</v>
      </c>
      <c r="R93" s="48" t="s">
        <v>1218</v>
      </c>
      <c r="S93" s="48" t="s">
        <v>2</v>
      </c>
      <c r="T93" s="48" t="s">
        <v>255</v>
      </c>
      <c r="U93" s="51"/>
      <c r="V93" s="48" t="s">
        <v>1417</v>
      </c>
      <c r="W93" s="48" t="s">
        <v>1245</v>
      </c>
      <c r="X93" s="48" t="s">
        <v>359</v>
      </c>
      <c r="Y93" s="52" t="s">
        <v>359</v>
      </c>
      <c r="Z93" s="48" t="s">
        <v>1227</v>
      </c>
      <c r="AA93" s="48" t="s">
        <v>1228</v>
      </c>
      <c r="AB93" s="48" t="s">
        <v>1223</v>
      </c>
      <c r="AC93" s="48" t="s">
        <v>1223</v>
      </c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48" t="s">
        <v>1246</v>
      </c>
      <c r="AO93" s="48" t="s">
        <v>359</v>
      </c>
      <c r="AP93" s="48" t="s">
        <v>359</v>
      </c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</row>
    <row r="94" spans="1:63" ht="23.25" customHeight="1">
      <c r="A94" s="31">
        <v>98</v>
      </c>
      <c r="B94" s="205">
        <v>94</v>
      </c>
      <c r="C94" s="48">
        <v>1</v>
      </c>
      <c r="D94" s="48" t="s">
        <v>263</v>
      </c>
      <c r="E94" s="48" t="s">
        <v>232</v>
      </c>
      <c r="F94" s="48" t="s">
        <v>769</v>
      </c>
      <c r="G94" s="48" t="s">
        <v>770</v>
      </c>
      <c r="H94" s="48">
        <v>601336782</v>
      </c>
      <c r="I94" s="51"/>
      <c r="J94" s="48" t="s">
        <v>771</v>
      </c>
      <c r="K94" s="48">
        <v>18</v>
      </c>
      <c r="L94" s="48" t="s">
        <v>771</v>
      </c>
      <c r="M94" s="48" t="s">
        <v>1</v>
      </c>
      <c r="N94" s="48">
        <v>29404</v>
      </c>
      <c r="O94" s="48" t="s">
        <v>772</v>
      </c>
      <c r="P94" s="51"/>
      <c r="Q94" s="48" t="s">
        <v>784</v>
      </c>
      <c r="R94" s="48" t="s">
        <v>774</v>
      </c>
      <c r="S94" s="48" t="s">
        <v>2</v>
      </c>
      <c r="T94" s="48" t="s">
        <v>255</v>
      </c>
      <c r="U94" s="51"/>
      <c r="V94" s="48" t="s">
        <v>1418</v>
      </c>
      <c r="W94" s="48">
        <v>967000010238636</v>
      </c>
      <c r="X94" s="48" t="s">
        <v>359</v>
      </c>
      <c r="Y94" s="52" t="s">
        <v>359</v>
      </c>
      <c r="Z94" s="48" t="s">
        <v>779</v>
      </c>
      <c r="AA94" s="48" t="s">
        <v>785</v>
      </c>
      <c r="AB94" s="48" t="s">
        <v>1419</v>
      </c>
      <c r="AC94" s="48" t="s">
        <v>1419</v>
      </c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48" t="s">
        <v>786</v>
      </c>
      <c r="AO94" s="48" t="s">
        <v>359</v>
      </c>
      <c r="AP94" s="48" t="s">
        <v>359</v>
      </c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</row>
    <row r="95" spans="1:63" ht="23.25" customHeight="1">
      <c r="A95" s="31">
        <v>102</v>
      </c>
      <c r="B95" s="205">
        <v>95</v>
      </c>
      <c r="C95" s="48">
        <v>1</v>
      </c>
      <c r="D95" s="48" t="s">
        <v>263</v>
      </c>
      <c r="E95" s="48" t="s">
        <v>232</v>
      </c>
      <c r="F95" s="48" t="s">
        <v>794</v>
      </c>
      <c r="G95" s="48" t="s">
        <v>795</v>
      </c>
      <c r="H95" s="48">
        <v>602403647</v>
      </c>
      <c r="I95" s="51"/>
      <c r="J95" s="48" t="s">
        <v>796</v>
      </c>
      <c r="K95" s="48" t="s">
        <v>797</v>
      </c>
      <c r="L95" s="48" t="s">
        <v>798</v>
      </c>
      <c r="M95" s="48" t="s">
        <v>1</v>
      </c>
      <c r="N95" s="48">
        <v>18200</v>
      </c>
      <c r="O95" s="48" t="s">
        <v>799</v>
      </c>
      <c r="P95" s="51"/>
      <c r="Q95" s="48" t="s">
        <v>806</v>
      </c>
      <c r="R95" s="48" t="s">
        <v>801</v>
      </c>
      <c r="S95" s="48" t="s">
        <v>2</v>
      </c>
      <c r="T95" s="48" t="s">
        <v>255</v>
      </c>
      <c r="U95" s="51"/>
      <c r="V95" s="48" t="s">
        <v>1442</v>
      </c>
      <c r="W95" s="48" t="s">
        <v>807</v>
      </c>
      <c r="X95" s="48" t="s">
        <v>359</v>
      </c>
      <c r="Y95" s="52" t="s">
        <v>359</v>
      </c>
      <c r="Z95" s="48" t="s">
        <v>803</v>
      </c>
      <c r="AA95" s="48" t="s">
        <v>808</v>
      </c>
      <c r="AB95" s="48" t="s">
        <v>1443</v>
      </c>
      <c r="AC95" s="48" t="s">
        <v>1443</v>
      </c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48" t="s">
        <v>809</v>
      </c>
      <c r="AO95" s="48" t="s">
        <v>359</v>
      </c>
      <c r="AP95" s="48" t="s">
        <v>359</v>
      </c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</row>
    <row r="96" spans="1:63" ht="23.25" customHeight="1">
      <c r="A96" s="31">
        <v>115</v>
      </c>
      <c r="B96" s="205">
        <v>96</v>
      </c>
      <c r="C96" s="48">
        <v>1</v>
      </c>
      <c r="D96" s="48" t="s">
        <v>68</v>
      </c>
      <c r="E96" s="48" t="s">
        <v>232</v>
      </c>
      <c r="F96" s="48" t="s">
        <v>884</v>
      </c>
      <c r="G96" s="48" t="s">
        <v>894</v>
      </c>
      <c r="H96" s="54" t="s">
        <v>886</v>
      </c>
      <c r="I96" s="51"/>
      <c r="J96" s="48" t="s">
        <v>887</v>
      </c>
      <c r="K96" s="48">
        <v>99</v>
      </c>
      <c r="L96" s="48" t="s">
        <v>887</v>
      </c>
      <c r="M96" s="48" t="s">
        <v>1</v>
      </c>
      <c r="N96" s="48">
        <v>27325</v>
      </c>
      <c r="O96" s="48" t="s">
        <v>888</v>
      </c>
      <c r="P96" s="51"/>
      <c r="Q96" s="48" t="s">
        <v>895</v>
      </c>
      <c r="R96" s="48" t="s">
        <v>896</v>
      </c>
      <c r="S96" s="48" t="s">
        <v>2</v>
      </c>
      <c r="T96" s="48" t="s">
        <v>24</v>
      </c>
      <c r="U96" s="51"/>
      <c r="V96" s="48" t="s">
        <v>1415</v>
      </c>
      <c r="W96" s="48">
        <v>88167</v>
      </c>
      <c r="X96" s="48" t="s">
        <v>359</v>
      </c>
      <c r="Y96" s="52" t="s">
        <v>359</v>
      </c>
      <c r="Z96" s="48" t="s">
        <v>891</v>
      </c>
      <c r="AA96" s="48" t="s">
        <v>892</v>
      </c>
      <c r="AB96" s="48" t="s">
        <v>1424</v>
      </c>
      <c r="AC96" s="48" t="s">
        <v>1424</v>
      </c>
      <c r="AD96" s="51"/>
      <c r="AE96" s="51"/>
      <c r="AF96" s="55" t="str">
        <f>HYPERLINK("https://drive.google.com/open?id=1w-tCjZIyEUpa1h5zRFKm0m5WkeKWZWuJ","3EB3A88C-68B9-4DF8-82FF-D7EED03611B1.jpeg")</f>
        <v>3EB3A88C-68B9-4DF8-82FF-D7EED03611B1.jpeg</v>
      </c>
      <c r="AG96" s="51"/>
      <c r="AH96" s="51"/>
      <c r="AI96" s="55" t="str">
        <f>HYPERLINK("https://drive.google.com/open?id=1cB0N4fMNW8TbodGW-mF5ELQErberddQG","E01D3B5A-C1C5-4999-B991-E11D4870EF26.jpeg")</f>
        <v>E01D3B5A-C1C5-4999-B991-E11D4870EF26.jpeg</v>
      </c>
      <c r="AJ96" s="51"/>
      <c r="AK96" s="51"/>
      <c r="AL96" s="48" t="s">
        <v>4</v>
      </c>
      <c r="AM96" s="51"/>
      <c r="AN96" s="48" t="s">
        <v>897</v>
      </c>
      <c r="AO96" s="48" t="s">
        <v>359</v>
      </c>
      <c r="AP96" s="48" t="s">
        <v>359</v>
      </c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</row>
    <row r="97" spans="1:63" ht="23.25" customHeight="1">
      <c r="A97" s="62">
        <v>6</v>
      </c>
      <c r="B97" s="205">
        <v>97</v>
      </c>
      <c r="C97" s="64">
        <v>1</v>
      </c>
      <c r="D97" s="64" t="s">
        <v>68</v>
      </c>
      <c r="E97" s="64"/>
      <c r="F97" s="64" t="s">
        <v>102</v>
      </c>
      <c r="G97" s="64" t="s">
        <v>103</v>
      </c>
      <c r="H97" s="76" t="s">
        <v>104</v>
      </c>
      <c r="I97" s="64"/>
      <c r="J97" s="27" t="s">
        <v>105</v>
      </c>
      <c r="K97" s="64">
        <v>643</v>
      </c>
      <c r="L97" s="64" t="s">
        <v>105</v>
      </c>
      <c r="M97" s="64" t="s">
        <v>1</v>
      </c>
      <c r="N97" s="64">
        <v>68737</v>
      </c>
      <c r="O97" s="27" t="s">
        <v>106</v>
      </c>
      <c r="P97" s="64"/>
      <c r="Q97" s="64" t="s">
        <v>1444</v>
      </c>
      <c r="R97" s="64" t="s">
        <v>266</v>
      </c>
      <c r="S97" s="64" t="s">
        <v>2</v>
      </c>
      <c r="T97" s="64" t="s">
        <v>24</v>
      </c>
      <c r="U97" s="64"/>
      <c r="V97" s="77" t="s">
        <v>1445</v>
      </c>
      <c r="W97" s="78">
        <v>945000002331100</v>
      </c>
      <c r="X97" s="64" t="s">
        <v>359</v>
      </c>
      <c r="Y97" s="65" t="s">
        <v>359</v>
      </c>
      <c r="Z97" s="64" t="s">
        <v>107</v>
      </c>
      <c r="AA97" s="64" t="s">
        <v>108</v>
      </c>
      <c r="AB97" s="64" t="s">
        <v>1446</v>
      </c>
      <c r="AC97" s="64" t="s">
        <v>1447</v>
      </c>
      <c r="AD97" s="64"/>
      <c r="AE97" s="79" t="str">
        <f>HYPERLINK("https://drive.google.com/open?id=1jR3UuYABsMqck_oMdCPBit7xIUG6XSCa","Screenshot_20210712-202503.png")</f>
        <v>Screenshot_20210712-202503.png</v>
      </c>
      <c r="AF97" s="79" t="str">
        <f>HYPERLINK("https://drive.google.com/open?id=1A3HI3UqXmA66w7QMRZM2PerZRaEQY2gH","B5CCB430-AF54-49DD-9EA2-F2C1B1B3F4B3.png")</f>
        <v>B5CCB430-AF54-49DD-9EA2-F2C1B1B3F4B3.png</v>
      </c>
      <c r="AG97" s="64"/>
      <c r="AH97" s="64"/>
      <c r="AI97" s="79" t="str">
        <f>HYPERLINK("https://drive.google.com/open?id=1gLf5C5qOspgOO3rdUDNe1YTT3h45H-_C","00CFC7C1-7A2A-478B-9DBA-C3C5A5525205.jpeg")</f>
        <v>00CFC7C1-7A2A-478B-9DBA-C3C5A5525205.jpeg</v>
      </c>
      <c r="AJ97" s="64"/>
      <c r="AK97" s="64"/>
      <c r="AL97" s="64" t="s">
        <v>4</v>
      </c>
      <c r="AM97" s="64"/>
      <c r="AN97" s="64" t="s">
        <v>109</v>
      </c>
      <c r="AO97" s="64" t="s">
        <v>359</v>
      </c>
      <c r="AP97" s="64" t="s">
        <v>359</v>
      </c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</row>
    <row r="98" spans="1:63" ht="23.25" customHeight="1">
      <c r="A98" s="31">
        <v>148</v>
      </c>
      <c r="B98" s="205">
        <v>98</v>
      </c>
      <c r="C98" s="48">
        <v>1</v>
      </c>
      <c r="D98" s="48" t="s">
        <v>68</v>
      </c>
      <c r="E98" s="48" t="s">
        <v>232</v>
      </c>
      <c r="F98" s="48" t="s">
        <v>6</v>
      </c>
      <c r="G98" s="48" t="s">
        <v>1131</v>
      </c>
      <c r="H98" s="48">
        <v>607635948</v>
      </c>
      <c r="I98" s="51"/>
      <c r="J98" s="48" t="s">
        <v>1132</v>
      </c>
      <c r="K98" s="48">
        <v>328</v>
      </c>
      <c r="L98" s="48" t="s">
        <v>1133</v>
      </c>
      <c r="M98" s="48" t="s">
        <v>1</v>
      </c>
      <c r="N98" s="48" t="s">
        <v>1134</v>
      </c>
      <c r="O98" s="48" t="s">
        <v>1135</v>
      </c>
      <c r="P98" s="51"/>
      <c r="Q98" s="48" t="s">
        <v>1136</v>
      </c>
      <c r="R98" s="48" t="s">
        <v>266</v>
      </c>
      <c r="S98" s="48" t="s">
        <v>2</v>
      </c>
      <c r="T98" s="48" t="s">
        <v>24</v>
      </c>
      <c r="U98" s="51"/>
      <c r="V98" s="48" t="s">
        <v>1445</v>
      </c>
      <c r="W98" s="48">
        <v>945000002331099</v>
      </c>
      <c r="X98" s="48" t="s">
        <v>359</v>
      </c>
      <c r="Y98" s="52" t="s">
        <v>359</v>
      </c>
      <c r="Z98" s="48" t="s">
        <v>1137</v>
      </c>
      <c r="AA98" s="48" t="s">
        <v>262</v>
      </c>
      <c r="AB98" s="48" t="s">
        <v>1446</v>
      </c>
      <c r="AC98" s="48" t="s">
        <v>1448</v>
      </c>
      <c r="AD98" s="51"/>
      <c r="AE98" s="51"/>
      <c r="AF98" s="55" t="str">
        <f>HYPERLINK("https://drive.google.com/open?id=17Xe354cLfD-J20f2JxSnxWKkD85ClR8R","potvrzení.pdf")</f>
        <v>potvrzení.pdf</v>
      </c>
      <c r="AG98" s="55" t="str">
        <f>HYPERLINK("https://drive.google.com/open?id=1bZksaCoHzVdEKzubrE5sBjbG3bJ2NG2J","výk. knížka.pdf")</f>
        <v>výk. knížka.pdf</v>
      </c>
      <c r="AH98" s="51"/>
      <c r="AI98" s="55" t="str">
        <f>HYPERLINK("https://drive.google.com/open?id=1DfUvA9IcK49D0WCX9UuHiLzwIW03-u-h","PP I.pdf")</f>
        <v>PP I.pdf</v>
      </c>
      <c r="AJ98" s="51"/>
      <c r="AK98" s="51"/>
      <c r="AL98" s="48" t="s">
        <v>4</v>
      </c>
      <c r="AM98" s="51"/>
      <c r="AN98" s="48" t="s">
        <v>1138</v>
      </c>
      <c r="AO98" s="48" t="s">
        <v>359</v>
      </c>
      <c r="AP98" s="48" t="s">
        <v>359</v>
      </c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</row>
    <row r="99" spans="1:63" ht="23.25" customHeight="1">
      <c r="A99" s="42">
        <v>73</v>
      </c>
      <c r="B99" s="205">
        <v>99</v>
      </c>
      <c r="C99" s="40">
        <v>1</v>
      </c>
      <c r="D99" s="40" t="s">
        <v>68</v>
      </c>
      <c r="E99" s="40" t="s">
        <v>454</v>
      </c>
      <c r="F99" s="40" t="s">
        <v>14</v>
      </c>
      <c r="G99" s="40" t="s">
        <v>641</v>
      </c>
      <c r="H99" s="41" t="s">
        <v>642</v>
      </c>
      <c r="I99" s="80"/>
      <c r="J99" s="40" t="s">
        <v>643</v>
      </c>
      <c r="K99" s="40">
        <v>835</v>
      </c>
      <c r="L99" s="40" t="s">
        <v>644</v>
      </c>
      <c r="M99" s="40" t="s">
        <v>11</v>
      </c>
      <c r="N99" s="40">
        <v>35709</v>
      </c>
      <c r="O99" s="40" t="s">
        <v>467</v>
      </c>
      <c r="P99" s="80"/>
      <c r="Q99" s="40" t="s">
        <v>645</v>
      </c>
      <c r="R99" s="40" t="s">
        <v>646</v>
      </c>
      <c r="S99" s="40" t="s">
        <v>2</v>
      </c>
      <c r="T99" s="40" t="s">
        <v>37</v>
      </c>
      <c r="U99" s="40"/>
      <c r="V99" s="40" t="s">
        <v>1426</v>
      </c>
      <c r="W99" s="40">
        <v>945000002268652</v>
      </c>
      <c r="X99" s="40" t="s">
        <v>359</v>
      </c>
      <c r="Y99" s="41" t="s">
        <v>359</v>
      </c>
      <c r="Z99" s="40" t="s">
        <v>647</v>
      </c>
      <c r="AA99" s="40" t="s">
        <v>648</v>
      </c>
      <c r="AB99" s="40" t="s">
        <v>1450</v>
      </c>
      <c r="AC99" s="81" t="s">
        <v>1450</v>
      </c>
      <c r="AD99" s="80"/>
      <c r="AE99" s="80"/>
      <c r="AF99" s="82" t="str">
        <f>HYPERLINK("https://drive.google.com/open?id=1rCkJhv6VlvuI0I1n9n1ndLKVhi5r9XiL","Brixie 400.png")</f>
        <v>Brixie 400.png</v>
      </c>
      <c r="AG99" s="82" t="str">
        <f>HYPERLINK("https://drive.google.com/open?id=1cTzH2FzzJJ16GMUAz9271zXH2G5IF-qd","Skener_20210726 (2).png")</f>
        <v>Skener_20210726 (2).png</v>
      </c>
      <c r="AH99" s="82" t="str">
        <f>HYPERLINK("https://drive.google.com/open?id=1D0fQu_uRt7itdvzmsXVsbMKX3P38vhXW","Skener_20210725 (7).png")</f>
        <v>Skener_20210725 (7).png</v>
      </c>
      <c r="AI99" s="82" t="str">
        <f>HYPERLINK("https://drive.google.com/open?id=1uKDeAkna2lRHk7kiu0mjPw2ElE4yYWMw","Skener_20210725 (7).png")</f>
        <v>Skener_20210725 (7).png</v>
      </c>
      <c r="AJ99" s="82" t="str">
        <f>HYPERLINK("https://drive.google.com/open?id=19YmEsSFZWSVmsi6wopWVYbRFPQcgtMrE","Skener_20210725 (8).png")</f>
        <v>Skener_20210725 (8).png</v>
      </c>
      <c r="AK99" s="82" t="str">
        <f>HYPERLINK("https://drive.google.com/open?id=1iBRJr4X0bXMVt4E8cbQtXJeBy3FCdFUe","Skener_20210725 (11).png")</f>
        <v>Skener_20210725 (11).png</v>
      </c>
      <c r="AL99" s="40" t="s">
        <v>4</v>
      </c>
      <c r="AM99" s="80"/>
      <c r="AN99" s="40" t="s">
        <v>649</v>
      </c>
      <c r="AO99" s="40" t="s">
        <v>359</v>
      </c>
      <c r="AP99" s="40" t="s">
        <v>359</v>
      </c>
      <c r="AQ99" s="80"/>
      <c r="AR99" s="80"/>
      <c r="AS99" s="80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40"/>
      <c r="BH99" s="84"/>
      <c r="BI99" s="84"/>
      <c r="BJ99" s="84"/>
      <c r="BK99" s="84"/>
    </row>
    <row r="100" spans="1:63" ht="23.25" customHeight="1">
      <c r="A100" s="31">
        <v>136</v>
      </c>
      <c r="B100" s="205">
        <v>100</v>
      </c>
      <c r="C100" s="48">
        <v>1</v>
      </c>
      <c r="D100" s="48" t="s">
        <v>68</v>
      </c>
      <c r="E100" s="48" t="s">
        <v>454</v>
      </c>
      <c r="F100" s="48" t="s">
        <v>55</v>
      </c>
      <c r="G100" s="48" t="s">
        <v>1066</v>
      </c>
      <c r="H100" s="54" t="s">
        <v>1067</v>
      </c>
      <c r="I100" s="51"/>
      <c r="J100" s="48" t="s">
        <v>1068</v>
      </c>
      <c r="K100" s="48">
        <v>19</v>
      </c>
      <c r="L100" s="48" t="s">
        <v>1069</v>
      </c>
      <c r="M100" s="48" t="s">
        <v>1070</v>
      </c>
      <c r="N100" s="48">
        <v>33141</v>
      </c>
      <c r="O100" s="48" t="s">
        <v>1071</v>
      </c>
      <c r="P100" s="51"/>
      <c r="Q100" s="48" t="s">
        <v>1075</v>
      </c>
      <c r="R100" s="48" t="s">
        <v>1073</v>
      </c>
      <c r="S100" s="48" t="s">
        <v>2</v>
      </c>
      <c r="T100" s="48" t="s">
        <v>37</v>
      </c>
      <c r="U100" s="51"/>
      <c r="V100" s="48" t="s">
        <v>1415</v>
      </c>
      <c r="W100" s="48">
        <v>953010004648430</v>
      </c>
      <c r="X100" s="48" t="s">
        <v>359</v>
      </c>
      <c r="Y100" s="52" t="s">
        <v>359</v>
      </c>
      <c r="Z100" s="48" t="s">
        <v>338</v>
      </c>
      <c r="AA100" s="48" t="s">
        <v>339</v>
      </c>
      <c r="AB100" s="48" t="s">
        <v>1173</v>
      </c>
      <c r="AC100" s="66" t="s">
        <v>1173</v>
      </c>
      <c r="AD100" s="51"/>
      <c r="AE100" s="51"/>
      <c r="AF100" s="55" t="str">
        <f>HYPERLINK("https://drive.google.com/open?id=13LDRdjnKNXQ7oUH8TGqEwPKpGHG9-sAg","Transakce_2000006828944121.pdf")</f>
        <v>Transakce_2000006828944121.pdf</v>
      </c>
      <c r="AG100" s="51"/>
      <c r="AH100" s="51"/>
      <c r="AI100" s="55" t="str">
        <f>HYPERLINK("https://drive.google.com/open?id=1NcuMIfzsIwir_f2WpEWo9bpGgr1nFIVP","Gyra.jpg")</f>
        <v>Gyra.jpg</v>
      </c>
      <c r="AJ100" s="51"/>
      <c r="AK100" s="51"/>
      <c r="AL100" s="48" t="s">
        <v>4</v>
      </c>
      <c r="AM100" s="51"/>
      <c r="AN100" s="48" t="s">
        <v>1076</v>
      </c>
      <c r="AO100" s="48" t="s">
        <v>359</v>
      </c>
      <c r="AP100" s="48" t="s">
        <v>359</v>
      </c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</row>
    <row r="101" spans="1:63" ht="23.25" customHeight="1">
      <c r="A101" s="85">
        <v>64</v>
      </c>
      <c r="B101" s="205">
        <v>101</v>
      </c>
      <c r="C101" s="64">
        <v>1</v>
      </c>
      <c r="D101" s="64" t="s">
        <v>190</v>
      </c>
      <c r="E101" s="64" t="s">
        <v>232</v>
      </c>
      <c r="F101" s="64" t="s">
        <v>563</v>
      </c>
      <c r="G101" s="64" t="s">
        <v>564</v>
      </c>
      <c r="H101" s="90" t="s">
        <v>565</v>
      </c>
      <c r="I101" s="86"/>
      <c r="J101" s="64" t="s">
        <v>566</v>
      </c>
      <c r="K101" s="64">
        <v>47</v>
      </c>
      <c r="L101" s="64" t="s">
        <v>567</v>
      </c>
      <c r="M101" s="64" t="s">
        <v>11</v>
      </c>
      <c r="N101" s="64">
        <v>33152</v>
      </c>
      <c r="O101" s="64" t="s">
        <v>568</v>
      </c>
      <c r="P101" s="86"/>
      <c r="Q101" s="64" t="s">
        <v>569</v>
      </c>
      <c r="R101" s="64" t="s">
        <v>570</v>
      </c>
      <c r="S101" s="64" t="s">
        <v>2</v>
      </c>
      <c r="T101" s="64" t="s">
        <v>24</v>
      </c>
      <c r="U101" s="86"/>
      <c r="V101" s="64" t="s">
        <v>1709</v>
      </c>
      <c r="W101" s="64">
        <v>67624</v>
      </c>
      <c r="X101" s="64" t="s">
        <v>571</v>
      </c>
      <c r="Y101" s="65" t="s">
        <v>122</v>
      </c>
      <c r="Z101" s="64" t="s">
        <v>572</v>
      </c>
      <c r="AA101" s="64" t="s">
        <v>573</v>
      </c>
      <c r="AB101" s="64" t="s">
        <v>1710</v>
      </c>
      <c r="AC101" s="64" t="s">
        <v>1711</v>
      </c>
      <c r="AD101" s="86"/>
      <c r="AE101" s="86"/>
      <c r="AF101" s="87" t="str">
        <f>HYPERLINK("https://drive.google.com/open?id=11PUmxfUL_JEkH06tUdkxYk6FY8ySLW1v","Poplatek.pdf")</f>
        <v>Poplatek.pdf</v>
      </c>
      <c r="AG101" s="86"/>
      <c r="AH101" s="86"/>
      <c r="AI101" s="87" t="str">
        <f>HYPERLINK("https://drive.google.com/open?id=1gECd1iCuJm4M3KoxH9M1amYK5EC2nw9T","IMG_20210725_161150_resized_20210725_041243474.jpg")</f>
        <v>IMG_20210725_161150_resized_20210725_041243474.jpg</v>
      </c>
      <c r="AJ101" s="87" t="str">
        <f>HYPERLINK("https://drive.google.com/open?id=1qdgL6W2_hgTm6-he0UYHoZfQc2Ndp46a","IMG_20210725_161157_resized_20210725_041245431.jpg")</f>
        <v>IMG_20210725_161157_resized_20210725_041245431.jpg</v>
      </c>
      <c r="AK101" s="87" t="str">
        <f>HYPERLINK("https://drive.google.com/open?id=1St-m7TtC0ZOHCe7qhLOoJyC9A1p9Gp5u","IMG_20210725_161008_resized_20210725_041052570.jpg")</f>
        <v>IMG_20210725_161008_resized_20210725_041052570.jpg</v>
      </c>
      <c r="AL101" s="64" t="s">
        <v>4</v>
      </c>
      <c r="AM101" s="86"/>
      <c r="AN101" s="64" t="s">
        <v>574</v>
      </c>
      <c r="AO101" s="64" t="s">
        <v>25</v>
      </c>
      <c r="AP101" s="64" t="s">
        <v>25</v>
      </c>
      <c r="AQ101" s="86"/>
      <c r="AR101" s="86"/>
      <c r="AS101" s="86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64"/>
      <c r="BH101" s="89"/>
      <c r="BI101" s="89"/>
      <c r="BJ101" s="89"/>
      <c r="BK101" s="89"/>
    </row>
    <row r="102" spans="1:63" ht="23.25" customHeight="1">
      <c r="A102" s="42">
        <v>128</v>
      </c>
      <c r="B102" s="205">
        <v>102</v>
      </c>
      <c r="C102" s="44">
        <v>1</v>
      </c>
      <c r="D102" s="44" t="s">
        <v>144</v>
      </c>
      <c r="E102" s="44" t="s">
        <v>232</v>
      </c>
      <c r="F102" s="44" t="s">
        <v>1000</v>
      </c>
      <c r="G102" s="44" t="s">
        <v>19</v>
      </c>
      <c r="H102" s="44">
        <v>773977473</v>
      </c>
      <c r="I102" s="45"/>
      <c r="J102" s="44" t="s">
        <v>1001</v>
      </c>
      <c r="K102" s="44">
        <v>12</v>
      </c>
      <c r="L102" s="44" t="s">
        <v>1002</v>
      </c>
      <c r="M102" s="44" t="s">
        <v>1</v>
      </c>
      <c r="N102" s="44">
        <v>62100</v>
      </c>
      <c r="O102" s="44" t="s">
        <v>1003</v>
      </c>
      <c r="P102" s="45"/>
      <c r="Q102" s="44" t="s">
        <v>1004</v>
      </c>
      <c r="R102" s="44" t="s">
        <v>1005</v>
      </c>
      <c r="S102" s="44" t="s">
        <v>2</v>
      </c>
      <c r="T102" s="44" t="s">
        <v>255</v>
      </c>
      <c r="U102" s="45"/>
      <c r="V102" s="44" t="s">
        <v>1712</v>
      </c>
      <c r="W102" s="44" t="s">
        <v>1006</v>
      </c>
      <c r="X102" s="44" t="s">
        <v>1007</v>
      </c>
      <c r="Y102" s="46" t="s">
        <v>122</v>
      </c>
      <c r="Z102" s="44" t="s">
        <v>1008</v>
      </c>
      <c r="AA102" s="44" t="s">
        <v>838</v>
      </c>
      <c r="AB102" s="44" t="s">
        <v>1713</v>
      </c>
      <c r="AC102" s="44" t="s">
        <v>1714</v>
      </c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4" t="s">
        <v>1009</v>
      </c>
      <c r="AO102" s="44" t="s">
        <v>25</v>
      </c>
      <c r="AP102" s="44" t="s">
        <v>25</v>
      </c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</row>
    <row r="103" spans="1:63" ht="23.25" customHeight="1">
      <c r="A103" s="31">
        <v>143</v>
      </c>
      <c r="B103" s="205">
        <v>103</v>
      </c>
      <c r="C103" s="48">
        <v>1</v>
      </c>
      <c r="D103" s="48" t="s">
        <v>190</v>
      </c>
      <c r="E103" s="48" t="s">
        <v>232</v>
      </c>
      <c r="F103" s="48" t="s">
        <v>55</v>
      </c>
      <c r="G103" s="48" t="s">
        <v>1066</v>
      </c>
      <c r="H103" s="54" t="s">
        <v>1067</v>
      </c>
      <c r="I103" s="51"/>
      <c r="J103" s="48" t="s">
        <v>1068</v>
      </c>
      <c r="K103" s="48">
        <v>19</v>
      </c>
      <c r="L103" s="48" t="s">
        <v>1069</v>
      </c>
      <c r="M103" s="48" t="s">
        <v>1070</v>
      </c>
      <c r="N103" s="48">
        <v>33141</v>
      </c>
      <c r="O103" s="48" t="s">
        <v>1071</v>
      </c>
      <c r="P103" s="51"/>
      <c r="Q103" s="48" t="s">
        <v>1113</v>
      </c>
      <c r="R103" s="48" t="s">
        <v>1073</v>
      </c>
      <c r="S103" s="48" t="s">
        <v>2</v>
      </c>
      <c r="T103" s="48" t="s">
        <v>24</v>
      </c>
      <c r="U103" s="51"/>
      <c r="V103" s="48" t="s">
        <v>1715</v>
      </c>
      <c r="W103" s="48">
        <v>20555</v>
      </c>
      <c r="X103" s="48" t="s">
        <v>1114</v>
      </c>
      <c r="Y103" s="52" t="s">
        <v>122</v>
      </c>
      <c r="Z103" s="48" t="s">
        <v>1103</v>
      </c>
      <c r="AA103" s="48" t="s">
        <v>1115</v>
      </c>
      <c r="AB103" s="48" t="s">
        <v>1173</v>
      </c>
      <c r="AC103" s="48" t="s">
        <v>1173</v>
      </c>
      <c r="AD103" s="51"/>
      <c r="AE103" s="51"/>
      <c r="AF103" s="55" t="str">
        <f>HYPERLINK("https://drive.google.com/open?id=1QzrqxKsF_6nH0RTZjUUDDdT_xcSdWd5C","Transakce_2000006828944121.pdf")</f>
        <v>Transakce_2000006828944121.pdf</v>
      </c>
      <c r="AG103" s="51"/>
      <c r="AH103" s="55" t="str">
        <f>HYPERLINK("https://drive.google.com/open?id=1czwkYFGR4VkeuGLke2ZtEmfIVelQoglU","Daf (2).jpg")</f>
        <v>Daf (2).jpg</v>
      </c>
      <c r="AI103" s="55" t="str">
        <f>HYPERLINK("https://drive.google.com/open?id=1FCNkjbmq_B8KOV72QC2Ymnz3wf3IECPo","Dafnie.jpg")</f>
        <v>Dafnie.jpg</v>
      </c>
      <c r="AJ103" s="55" t="str">
        <f>HYPERLINK("https://drive.google.com/open?id=1PDl4CI5F19r2IWzpUEvzIbdTbOvUQQdy","Daf.jpg")</f>
        <v>Daf.jpg</v>
      </c>
      <c r="AK103" s="51"/>
      <c r="AL103" s="48" t="s">
        <v>4</v>
      </c>
      <c r="AM103" s="51"/>
      <c r="AN103" s="48" t="s">
        <v>1116</v>
      </c>
      <c r="AO103" s="48" t="s">
        <v>25</v>
      </c>
      <c r="AP103" s="48" t="s">
        <v>25</v>
      </c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</row>
    <row r="104" spans="1:63" ht="23.25" customHeight="1">
      <c r="A104" s="62">
        <v>11</v>
      </c>
      <c r="B104" s="205">
        <v>104</v>
      </c>
      <c r="C104" s="64">
        <v>1</v>
      </c>
      <c r="D104" s="64" t="s">
        <v>144</v>
      </c>
      <c r="E104" s="64"/>
      <c r="F104" s="64" t="s">
        <v>145</v>
      </c>
      <c r="G104" s="64" t="s">
        <v>146</v>
      </c>
      <c r="H104" s="64" t="s">
        <v>147</v>
      </c>
      <c r="I104" s="64"/>
      <c r="J104" s="64" t="s">
        <v>148</v>
      </c>
      <c r="K104" s="64">
        <v>104</v>
      </c>
      <c r="L104" s="64" t="s">
        <v>148</v>
      </c>
      <c r="M104" s="64" t="s">
        <v>17</v>
      </c>
      <c r="N104" s="64">
        <v>36273</v>
      </c>
      <c r="O104" s="64" t="s">
        <v>149</v>
      </c>
      <c r="P104" s="64"/>
      <c r="Q104" s="64" t="s">
        <v>150</v>
      </c>
      <c r="R104" s="64" t="s">
        <v>151</v>
      </c>
      <c r="S104" s="64" t="s">
        <v>2</v>
      </c>
      <c r="T104" s="64" t="s">
        <v>152</v>
      </c>
      <c r="U104" s="64"/>
      <c r="V104" s="64" t="s">
        <v>1716</v>
      </c>
      <c r="W104" s="64">
        <v>248058</v>
      </c>
      <c r="X104" s="64" t="s">
        <v>153</v>
      </c>
      <c r="Y104" s="65" t="s">
        <v>154</v>
      </c>
      <c r="Z104" s="64" t="s">
        <v>155</v>
      </c>
      <c r="AA104" s="64" t="s">
        <v>156</v>
      </c>
      <c r="AB104" s="64" t="s">
        <v>1717</v>
      </c>
      <c r="AC104" s="64" t="s">
        <v>1717</v>
      </c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</row>
    <row r="105" spans="1:63" ht="23.25" customHeight="1">
      <c r="A105" s="31">
        <v>154</v>
      </c>
      <c r="B105" s="205">
        <v>105</v>
      </c>
      <c r="C105" s="48">
        <v>1</v>
      </c>
      <c r="D105" s="48" t="s">
        <v>144</v>
      </c>
      <c r="E105" s="48" t="s">
        <v>454</v>
      </c>
      <c r="F105" s="48" t="s">
        <v>192</v>
      </c>
      <c r="G105" s="48" t="s">
        <v>1176</v>
      </c>
      <c r="H105" s="48">
        <v>774265713</v>
      </c>
      <c r="I105" s="51"/>
      <c r="J105" s="48" t="s">
        <v>1177</v>
      </c>
      <c r="K105" s="48">
        <v>145</v>
      </c>
      <c r="L105" s="48" t="s">
        <v>1177</v>
      </c>
      <c r="M105" s="51"/>
      <c r="N105" s="48">
        <v>33040</v>
      </c>
      <c r="O105" s="51"/>
      <c r="P105" s="51"/>
      <c r="Q105" s="48" t="s">
        <v>1186</v>
      </c>
      <c r="R105" s="48" t="s">
        <v>1179</v>
      </c>
      <c r="S105" s="48" t="s">
        <v>2</v>
      </c>
      <c r="T105" s="48" t="s">
        <v>704</v>
      </c>
      <c r="U105" s="51"/>
      <c r="V105" s="48" t="s">
        <v>1707</v>
      </c>
      <c r="W105" s="48" t="s">
        <v>1187</v>
      </c>
      <c r="X105" s="48" t="s">
        <v>127</v>
      </c>
      <c r="Y105" s="52" t="s">
        <v>359</v>
      </c>
      <c r="Z105" s="48" t="s">
        <v>1181</v>
      </c>
      <c r="AA105" s="48" t="s">
        <v>1182</v>
      </c>
      <c r="AB105" s="48" t="s">
        <v>1183</v>
      </c>
      <c r="AC105" s="48" t="s">
        <v>1184</v>
      </c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48" t="s">
        <v>1188</v>
      </c>
      <c r="AO105" s="48" t="s">
        <v>25</v>
      </c>
      <c r="AP105" s="48" t="s">
        <v>25</v>
      </c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Výsledková listina2</vt:lpstr>
      <vt:lpstr>data</vt:lpstr>
      <vt:lpstr>Psi</vt:lpstr>
      <vt:lpstr>Feny</vt:lpstr>
      <vt:lpstr>'Výsledková listina2'!Oblast_tisku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Karolína Škubalová</dc:creator>
  <cp:lastModifiedBy>Toshiba</cp:lastModifiedBy>
  <cp:lastPrinted>2021-08-22T13:43:03Z</cp:lastPrinted>
  <dcterms:created xsi:type="dcterms:W3CDTF">2021-08-22T09:58:58Z</dcterms:created>
  <dcterms:modified xsi:type="dcterms:W3CDTF">2021-08-24T18:52:44Z</dcterms:modified>
</cp:coreProperties>
</file>